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'!$K$5:$O$35</definedName>
    <definedName name="BoardQty">'reDIP-SID-kicost. '!$J$1</definedName>
    <definedName name="digikey_part_data">'reDIP-SID-kicost. '!$P$5:$T$35</definedName>
    <definedName name="farnell_part_data">'reDIP-SID-kicost. '!$U$5:$Y$35</definedName>
    <definedName name="global_part_data">'reDIP-SID-kicost. '!$A$5:$J$35</definedName>
    <definedName name="lcsc_part_data">'reDIP-SID-kicost. '!$Z$5:$AD$35</definedName>
    <definedName name="mouser_part_data">'reDIP-SID-kicost. '!$AE$5:$AI$35</definedName>
    <definedName name="newark_part_data">'reDIP-SID-kicost. '!$AJ$5:$AN$35</definedName>
    <definedName name="PURCHASE_DESCRIPTION">'reDIP-SID-kicost. '!$J$38</definedName>
    <definedName name="rs_part_data">'reDIP-SID-kicost. '!$AO$5:$AS$35</definedName>
    <definedName name="tme_part_data">'reDIP-SID-kicost. '!$AT$5:$AX$35</definedName>
    <definedName name="TotalCost">'reDIP-SID-kicost. '!$J$3</definedName>
    <definedName name="USD_EUR">'reDIP-SID-kicost. '!$C$38</definedName>
    <definedName name="USD_GBP">'reDIP-SID-kicost. '!$C$39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$7,590.00</t>
        </r>
      </text>
    </comment>
    <comment ref="U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£0.11      £1.08
   100   £0.06      £6.19
   150   £0.06      £9.28
   500   £0.05     £23.55
  2500   £0.04     £87.50
  5000   £0.03    £144.50
 10000   £0.02    £241.00
 50000   £0.02  £1,030.00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$0.59
   100   $0.05      $4.53
   300   $0.04     $12.87
  1000   $0.04     $40.40
  5000   $0.04    $196.50
 10000   $0.04    $388.00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J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$3.85
    50   $0.09      $4.70
   100   $0.08      $7.60
   250   $0.06     $16.00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
 75000   $0.00    $294.75
105000   $0.00    $333.90
150000   $0.00    $460.50
375000   $0.00  $1,038.75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£0.07
   100   £0.01      £0.54
   150   £0.01      £0.81
   500   £0.00      £2.05
  2500   £0.00      £7.25
  7500   £0.00     £19.50
 15000   £0.00     £33.00
 75000   £0.00    £127.50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$0.20
  1000   $0.00      $1.60
  3000   $0.00      $4.50
 10000   $0.00     $14.00
 50000   $0.00     $70.00
100000   $0.00    $130.00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
 75000   $0.04  $3,093.75
150000   $0.04  $5,487.00
375000   $0.03 $12,892.50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£3.00
   100   £0.18     £17.80
   150   £0.18     £26.70
   500   £0.15     £75.50
  2500   £0.08    £202.50
  7500   £0.07    £502.50
 15000   £0.07    £976.50
 75000   £0.06  £4,185.00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$0.35
   200   $0.01      $2.62
   600   $0.01      $7.38
  2000   $0.01     $23.00
 10000   $0.01    $111.00
 20000   $0.01    $218.00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$0.36      $3.56
    25   $0.33      $8.15
    50   $0.22     $11.10
   100   $0.18     $18.40
   250   $0.15     $38.50
 15000   $0.09  $1,365.00
 30000   $0.08  $2,250.00
 60000   $0.06  $3,900.00
 90000   $0.06  $5,400.00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$3.80
   100   $0.06      $6.42
   500   $0.04     $21.98
  1000   $0.04     $38.89
  2500   $0.04     $93.00
  5000   $0.03    $169.05
 10000   $0.03    $313.50
 20000   $0.03    $594.00
 30000   $0.03    $841.50
 50000   $0.03  $1,320.00
100000   $0.02  $2,228.00
250000   $0.02  $5,157.50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£2.02
   100   £0.11     £11.10
   150   £0.11     £16.65
   500   £0.07     £34.50
  2500   £0.05    £135.00
  5000   £0.04    £215.00
 10000   £0.03    £348.00
 50000   £0.03  £1,490.00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$0.57
   100   $0.04      $4.14
   300   $0.04     $11.58
  1000   $0.04     $35.90
  5000   $0.03    $173.00
 10000   $0.03    $340.00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$0.11      $1.08
    50   $0.11      $5.40
   100   $0.08      $8.30
  1000   $0.05     $49.00
 10000   $0.04    $380.00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$0.25      $2.50
    25   $0.22      $5.52
    50   $0.14      $6.75
   100   $0.11     $10.90
   250   $0.09     $23.00
 10000   $0.05    $540.00
 20000   $0.05    $940.00
 40000   $0.04  $1,600.00
 60000   $0.03  $1,980.00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
250000   $0.07 $17,622.50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£2.15
   100   £0.17     £17.30
   150   £0.17     £25.95
   500   £0.10     £49.30
  2500   £0.08    £205.50
  5000   £0.07    £329.00
 10000   £0.05    £548.00
 50000   £0.05  £2,350.00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$0.10      $0.49
    50   $0.07      $3.62
   150   $0.07     $10.17
   500   $0.06     $31.65
  2500   $0.06    $153.25
  5000   $0.06    $301.50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$0.06    $550.00
 20000   $0.05    $960.00
 40000   $0.04  $1,640.00
 60000   $0.03  $1,980.00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$0.02      $0.98
   100   $0.02      $1.60
   500   $0.01      $5.72
  1000   $0.01      $8.98
  2500   $0.01     $20.42
  5000   $0.01     $37.55
 15000   $0.01     $89.10
 30000   $0.01    $169.20
 75000   $0.01    $378.75
150000   $0.00    $592.50
375000   $0.00  $1,391.25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$0.33
   500   $0.01      $2.55
  1500   $0.00      $7.20
  5000   $0.00     $22.50
 25000   $0.00    $110.00
 50000   $0.00    $215.00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$8.00
 10000   $0.01     $70.00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$0.24      $2.36
   100   $0.12     $11.91
   500   $0.10     $48.59
  1000   $0.07     $72.11
  2000   $0.06    $121.32
  5000   $0.06    $290.00
 10000   $0.05    $501.60
 30000   $0.05  $1,476.60
 50000   $0.04  $2,062.50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£1.60
    10   £0.21      £2.09
   100   £0.10     £10.50
   500   £0.08     £39.90
  1000   £0.05     £48.30
  5000   £0.05    £236.50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$1.79
    10   $0.28      $2.75
   100   $0.15     $15.30
   500   $0.14     $67.50
  1000   $0.12    $117.00
  2500   $0.10    $255.00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10   $0.24      $2.35
   100   $0.11     $10.54
   500   $0.10     $47.60
  1000   $0.08     $78.20
  2000   $0.07    $136.00
  4000   $0.07    $272.00
  8000   $0.06    $489.60
 12000   $0.05    $652.80
 28000   $0.05  $1,428.00
100000   $0.04  $4,420.00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$0.18      $0.90
    25   $0.16      $4.00
   100   $0.10     $10.10
   500   $0.08     $39.60
  4000   $0.06    $237.60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$0.24      $2.42
   100   $0.11     $10.85
   500   $0.10     $49.00
  1000   $0.08     $80.50
  2000   $0.07    $140.00
  4000   $0.07    $280.00
  8000   $0.06    $504.00
 12000   $0.06    $672.00
 28000   $0.05  $1,470.00
100000   $0.05  $4,550.00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5   €0.15      €0.73
    25   €0.11      €2.86
   100   €0.08      €8.24
   500   €0.06     €30.60
  4000   €0.04    €176.40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$0.28      $2.84
    30   $0.26      $7.94
   100   $0.25     $24.58
   500   $0.24    $118.60
  1000   $0.23    $233.80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£88.50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$6.45
  5000   $0.00     $20.00
 25000   $0.00     $97.50
 50000   $0.00    $190.00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$0.91
   500   $0.01      $6.95
  1500   $0.01     $19.65
  5000   $0.01     $61.50
 25000   $0.01    $300.00
 50000   $0.01    $590.00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£1.37
   500   £0.13     £63.00
  1000   £0.12    £118.00
  5000   £0.11    £555.00
 10000   £0.10  £1,030.00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$1.52
    30   $0.14      $4.28
   100   $0.13     $13.30
   500   $0.13     $64.40
  1000   $0.13    $126.70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$0.16     $15.50
  1000   $0.10    $103.00
 10000   $0.10  $1,030.00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$0.23      $1.16
   100   $0.20     $19.58
  1000   $0.13    $134.60
  3000   $0.12    $360.00
  8500   $0.12    $998.75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$0.31      $3.10
    25   $0.28      $7.10
   100   $0.19     $19.14
   250   $0.16     $39.60
   500   $0.15     $72.60
  1000   $0.11    $108.90
  2500   $0.10    $255.75
  5000   $0.10    $478.50
 10000   $0.09    $891.00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£0.28      £1.41
    10   £0.21      £2.07
   100   £0.10      £9.78
   500   £0.08     £40.85
  1000   £0.07     £65.50
  5000   £0.07    £326.00
 10000   £0.06    £648.00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$0.28      $2.83
    50   $0.28     $14.15
   100   $0.14     $14.50
  1000   $0.10    $102.00
 10000   $0.09    $870.00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$0.35      $3.53
    25   $0.29      $7.35
    50   $0.25     $12.35
   100   $0.21     $20.70
   250   $0.18     $44.00
   500   $0.14     $72.00
  1000   $0.12    $122.00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£0.07    £350.00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$0.35      $3.53
    25   $0.32      $8.06
   100   $0.22     $21.75
   250   $0.18     $45.00
   500   $0.16     $82.50
  1000   $0.12    $123.75
  2500   $0.12    $290.62
  5000   $0.11    $543.75
 10000   $0.10  $1,012.50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£1.64
    10   £0.24      £2.35
   100   £0.11     £10.90
   500   £0.10     £50.50
  1000   £0.09     £93.40
  5000   £0.09    £428.00
 10000   £0.08    £778.00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$0.32      $3.22
    50   $0.32     $16.10
   100   $0.16     $16.40
  1000   $0.12    $116.00
 10000   $0.10    $990.00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$0.51      $2.56
    10   $0.39      $3.92
    25   $0.33      $8.18
    50   $0.27     $13.70
   100   $0.23     $23.00
   250   $0.20     $49.00
   500   $0.16     $80.00
  1000   $0.14    $136.00
  5000   $0.17    $830.00
  6000   $0.15    $882.00
 12000   $0.13  $1,596.00
 15000   $0.10  $1,515.00
 18000   $0.12  $2,232.00
 30000   $0.11  $3,420.00
 40000   $0.09  $3,560.00
 75000   $0.09  $6,450.00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£0.08    £400.00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$1.08  $2,160.00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$2.00     $20.00
    50   $2.00    $100.00
   100   $1.71    $171.00
  1000   $1.16  $1,160.00
 10000   $1.03 $10,300.00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$2.88     $28.85
    25   $2.73     $68.18
   100   $2.24    $224.22
   250   $2.01    $502.98
   500   $1.94    $969.60
  1000   $1.70  $1,696.80
  5000   $1.70  $8,484.00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£2.76      £2.76
    10   £2.07     £20.70
    25   £1.95     £48.75
    50   £1.83     £91.50
   100   £1.71    £171.00
   250   £1.53    £382.50
   500   £1.47    £735.00
  1000   £1.22  £1,220.00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50   $2.72    $136.00
   100   $2.24    $224.00
  1000   $1.61  $1,610.00
 10000   $1.51 $15,100.00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$3.53      $3.53
    10   $3.18     $31.80
    25   $3.00     $75.00
    50   $2.73    $136.50
   100   $2.46    $246.00
   250   $2.21    $552.50
  5000   $1.48  $7,400.00
 10000   $1.45 $14,500.00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$0.14    $571.20
  8000   $0.13  $1,075.20
 12000   $0.13  $1,512.00
 28000   $0.12  $3,292.80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£0.23      £1.13
    10   £0.19      £1.90
   100   £0.10      £9.89
   150   £0.10     £14.84
  4000   £0.09    £370.80
 12000   £0.09  £1,075.20
 32000   £0.09  £2,803.20
 60000   £0.09  £5,142.00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$0.13      $1.27
    30   $0.12      $3.57
   100   $0.11     $11.06
   500   $0.11     $53.40
  1000   $0.10    $105.00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$0.21      $2.12
    50   $0.21     $10.60
   100   $0.16     $16.20
  1000   $0.13    $126.00
 10000   $0.12  $1,180.00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$0.22      $1.10
    10   $0.21      $2.08
   100   $0.18     $18.50
  8000   $0.13  $1,064.00
 12000   $0.12  $1,452.00
 18000   $0.11  $2,034.00
 30000   $0.10  $3,150.00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£0.16      £7.95
   100   £0.10      £9.50
   250   £0.09     £22.75
   500   £0.09     £43.50
  1000   £0.07     £71.00</t>
        </r>
      </text>
    </comment>
    <comment ref="AV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5   €0.19      €0.95
    25   €0.17      €4.25
   100   €0.15     €15.00
   500   €0.14     €67.50
  2000   €0.13    €252.00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$1.44      $1.44
    10   $1.31     $13.10
    25   $1.27     $31.87
    50   $1.27     $63.42
   100   $1.13    $113.38
   250   $1.13    $282.62
   500   $1.11    $556.71
  1000   $1.07  $1,066.16
  5000   $0.99  $4,963.15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$1.83      $1.83
    10   $1.76     $17.60
    50   $1.72     $86.00
   100   $1.47    $147.00
  1000   $1.15  $1,150.00
 10000   $1.05 $10,500.00</t>
        </r>
      </text>
    </comment>
    <comment ref="I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<sst xmlns="http://schemas.openxmlformats.org/spreadsheetml/2006/main" count="520" uniqueCount="297">
  <si>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</si>
  <si>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</si>
  <si>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</si>
  <si>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</si>
  <si>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</si>
  <si>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</si>
  <si>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</si>
  <si>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</si>
  <si>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</si>
  <si>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</si>
  <si>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</si>
  <si>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</si>
  <si>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</si>
  <si>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</si>
  <si>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</si>
  <si>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</si>
  <si>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</si>
  <si>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</si>
  <si>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C17</t>
  </si>
  <si>
    <t>10n</t>
  </si>
  <si>
    <t>CAP CER 10nF 6.3V 10% X5R 0201</t>
  </si>
  <si>
    <t>C_0201_0603Metric</t>
  </si>
  <si>
    <t>GRM033R60J103KA01D</t>
  </si>
  <si>
    <t>1.2V DC</t>
  </si>
  <si>
    <t>C2,C8-C10,C15</t>
  </si>
  <si>
    <t>CAP CER 1uF 6.3V 20% X6S 0201</t>
  </si>
  <si>
    <t>GRM033C80J105ME05D</t>
  </si>
  <si>
    <t>C2,C15: 1.2V DC
C8-C10: 1.55V DC AUDIO</t>
  </si>
  <si>
    <t>C20</t>
  </si>
  <si>
    <t>10uF</t>
  </si>
  <si>
    <t>CAP CER 10uF 6.3V 20% X5R 0402</t>
  </si>
  <si>
    <t>GRM155R60J106ME15D</t>
  </si>
  <si>
    <t>C4,C11</t>
  </si>
  <si>
    <t>CAP CER 4.7uF 6.3V 20% X5R 0201</t>
  </si>
  <si>
    <t>GRM035R60J475ME15D</t>
  </si>
  <si>
    <t>3.3V DC DERATED TO 1uF</t>
  </si>
  <si>
    <t>C5-C7,C12-C14,C16,C18,C19,C21</t>
  </si>
  <si>
    <t>0.1uF</t>
  </si>
  <si>
    <t>CAP CER 0.22uF 6.3V 20% X5R 0201</t>
  </si>
  <si>
    <t>GRM033R60J224KE15D</t>
  </si>
  <si>
    <t>C7: 1.55V DC VAG DERATED TO 0.1uF
C16: 1.2V DC DERATED TO 0.1uF
C5,C6,C12-C14,C18,C19,C21: 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</si>
  <si>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</si>
  <si>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</si>
  <si>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</si>
  <si>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</si>
  <si>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</si>
  <si>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</si>
  <si>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</si>
  <si>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</si>
  <si>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</si>
  <si>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</si>
  <si>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</si>
  <si>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</si>
  <si>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</si>
  <si>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</si>
  <si>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</si>
  <si>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</si>
  <si>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</si>
  <si>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</si>
  <si>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</si>
  <si>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</si>
  <si>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</si>
  <si>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</si>
  <si>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</si>
  <si>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</si>
  <si>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</si>
  <si>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</si>
  <si>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</si>
  <si>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</si>
  <si>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</si>
  <si>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</si>
  <si>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Q1</t>
  </si>
  <si>
    <t>PDTA143ZMB</t>
  </si>
  <si>
    <t>TRANSISTOR PNP RET R1=4.7kΩ R2=47kΩ 100mA SOT883B</t>
  </si>
  <si>
    <t>SOT-883</t>
  </si>
  <si>
    <t>PDTA143ZMB,315</t>
  </si>
  <si>
    <t>R1,R2,R8</t>
  </si>
  <si>
    <t>2.2k</t>
  </si>
  <si>
    <t>RES 2.2kΩ 50mW 5% 0201</t>
  </si>
  <si>
    <t>R_0201_0603Metric</t>
  </si>
  <si>
    <t>Panasonic</t>
  </si>
  <si>
    <t>ERJ-1GNJ222C</t>
  </si>
  <si>
    <t>R11</t>
  </si>
  <si>
    <t>22</t>
  </si>
  <si>
    <t>RES 22Ω 50mW 5% 0201</t>
  </si>
  <si>
    <t>ERJ-1GNJ220C</t>
  </si>
  <si>
    <t>R3,R7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</si>
  <si>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</si>
  <si>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</si>
  <si>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</si>
  <si>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</si>
  <si>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</si>
  <si>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</si>
  <si>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</si>
  <si>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</si>
  <si>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</si>
  <si>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</si>
  <si>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</si>
  <si>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R9,R10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</si>
  <si>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</si>
  <si>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</si>
  <si>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</si>
  <si>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</si>
  <si>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</si>
  <si>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</si>
  <si>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</si>
  <si>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</si>
  <si>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</si>
  <si>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NCP163AMX120TBG</t>
  </si>
  <si>
    <t>IC REG LDO 1.2V 250mA XDFN4</t>
  </si>
  <si>
    <t>CASE711AJ_1.0x1.0mm_P0.65mm</t>
  </si>
  <si>
    <t>ON Semiconductor</t>
  </si>
  <si>
    <t>NCP163AFCT120T2G</t>
  </si>
  <si>
    <t>U2</t>
  </si>
  <si>
    <t>NCP167AMX330TBG</t>
  </si>
  <si>
    <t>IC REG LDO 3.3V 700mA XDFN4</t>
  </si>
  <si>
    <t>NCP167AFCT330T2G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</si>
  <si>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</si>
  <si>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</si>
  <si>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</si>
  <si>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</si>
  <si>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</si>
  <si>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</si>
  <si>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</si>
  <si>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</si>
  <si>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</si>
  <si>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</si>
  <si>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</si>
  <si>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U5</t>
  </si>
  <si>
    <t>NUF2042XV6</t>
  </si>
  <si>
    <t>IC USB TERMINATOR ESD PROTECTION SOT-563</t>
  </si>
  <si>
    <t>CASE463A_1.6x1.2mm_P0.5mm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</si>
  <si>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</si>
  <si>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</si>
  <si>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</si>
  <si>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</si>
  <si>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</si>
  <si>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</si>
  <si>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</si>
  <si>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</si>
  <si>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</si>
  <si>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</si>
  <si>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</si>
  <si>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</si>
  <si>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U8</t>
  </si>
  <si>
    <t>ICE40UP5K-SG48I</t>
  </si>
  <si>
    <t>IC FPGA QFN-48</t>
  </si>
  <si>
    <t>QFN-48-1EP_7x7mm_P0.5mm_EP5.6x5.6mm</t>
  </si>
  <si>
    <t>Lattice</t>
  </si>
  <si>
    <t>X1</t>
  </si>
  <si>
    <t>ASCO-24.576MHZ-EK-T</t>
  </si>
  <si>
    <t>OSC 24.576 MHz</t>
  </si>
  <si>
    <t>Oscillator_SMD_Abracon_ASCO-4Pin_1.6x1.2mm</t>
  </si>
  <si>
    <t>Abracon</t>
  </si>
  <si>
    <t>Total Purchase:</t>
  </si>
  <si>
    <t>Purchase description:</t>
  </si>
  <si>
    <t>Used currency rates:</t>
  </si>
  <si>
    <t>USD($)/EUR(€):</t>
  </si>
  <si>
    <t>USD($)/GBP(£):</t>
  </si>
  <si>
    <t>Prj:</t>
  </si>
  <si>
    <t>reDIP SID</t>
  </si>
  <si>
    <t>Co.:</t>
  </si>
  <si>
    <t>Nimrod</t>
  </si>
  <si>
    <t>Prj date:</t>
  </si>
  <si>
    <t>sø. 10. jan. 2021 kl. 16.18 +0100</t>
  </si>
  <si>
    <t>Board Qty:</t>
  </si>
  <si>
    <t>Total Cost:</t>
  </si>
  <si>
    <t>Unit Cost:</t>
  </si>
  <si>
    <t>$ date:</t>
  </si>
  <si>
    <t>2021-01-10 16:18:59</t>
  </si>
  <si>
    <t>Arrow</t>
  </si>
  <si>
    <t>Avail</t>
  </si>
  <si>
    <t>Purch</t>
  </si>
  <si>
    <t>Cat#</t>
  </si>
  <si>
    <t>Buy here</t>
  </si>
  <si>
    <t>Digi-Key</t>
  </si>
  <si>
    <t>490-14595-1-ND</t>
  </si>
  <si>
    <t>NonStk</t>
  </si>
  <si>
    <t>490-5403-1-ND</t>
  </si>
  <si>
    <t>490-13218-1-ND</t>
  </si>
  <si>
    <t>490-13238-1-ND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</si>
  <si>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</si>
  <si>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</si>
  <si>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</si>
  <si>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</si>
  <si>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</si>
  <si>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</si>
  <si>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</si>
  <si>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PDTA143ZMB,315-ND</t>
  </si>
  <si>
    <t>P123277CT-ND</t>
  </si>
  <si>
    <t>P123275CT-ND</t>
  </si>
  <si>
    <t>P123246CT-ND</t>
  </si>
  <si>
    <t>P123340CT-ND</t>
  </si>
  <si>
    <t>P123220CT-ND</t>
  </si>
  <si>
    <t>P123222CT-ND</t>
  </si>
  <si>
    <t>CKN10779CT-ND</t>
  </si>
  <si>
    <t>NCP163AFCT120T2GOSCT-ND</t>
  </si>
  <si>
    <t>NCP167AFCT330T2GOSCT-ND</t>
  </si>
  <si>
    <t>296-6475-2-ND</t>
  </si>
  <si>
    <t>568-13255-1-ND</t>
  </si>
  <si>
    <t>NUF2042XV6T1GOSCT-ND</t>
  </si>
  <si>
    <t>W25Q128JVPIM-ND</t>
  </si>
  <si>
    <t>220-2212-1-ND</t>
  </si>
  <si>
    <t>ASCO-24.576MHZ-EK-T-ND</t>
  </si>
  <si>
    <t>Farnell</t>
  </si>
  <si>
    <t>3581345</t>
  </si>
  <si>
    <t>3243319</t>
  </si>
  <si>
    <t>3582762</t>
  </si>
  <si>
    <t>3582794</t>
  </si>
  <si>
    <t>3238402</t>
  </si>
  <si>
    <t>2990684</t>
  </si>
  <si>
    <t>2191801</t>
  </si>
  <si>
    <t>2775247</t>
  </si>
  <si>
    <t>2775246</t>
  </si>
  <si>
    <t>3303211</t>
  </si>
  <si>
    <t>3303209</t>
  </si>
  <si>
    <t>3303177</t>
  </si>
  <si>
    <t>3303281</t>
  </si>
  <si>
    <t>3303148</t>
  </si>
  <si>
    <t>3303150</t>
  </si>
  <si>
    <t>3023200</t>
  </si>
  <si>
    <t>3010477</t>
  </si>
  <si>
    <t>3010482</t>
  </si>
  <si>
    <t>2776032</t>
  </si>
  <si>
    <t>2824959</t>
  </si>
  <si>
    <t>LCSC</t>
  </si>
  <si>
    <t>C437523</t>
  </si>
  <si>
    <t>C161460</t>
  </si>
  <si>
    <t>C385023</t>
  </si>
  <si>
    <t>C412251</t>
  </si>
  <si>
    <t>C335103</t>
  </si>
  <si>
    <t>C76931</t>
  </si>
  <si>
    <t>C165948</t>
  </si>
  <si>
    <t>C713500</t>
  </si>
  <si>
    <t>C242159</t>
  </si>
  <si>
    <t>C221822</t>
  </si>
  <si>
    <t>C90707</t>
  </si>
  <si>
    <t>Mouser</t>
  </si>
  <si>
    <t>81GRM155C81C225KE1D</t>
  </si>
  <si>
    <t>81GRM033R60J103KA1D</t>
  </si>
  <si>
    <t>81GRM033C80J105ME5D</t>
  </si>
  <si>
    <t>81GRM155R60J106ME5D</t>
  </si>
  <si>
    <t>81GRM035R60J475ME5D</t>
  </si>
  <si>
    <t>81GRM33R60J224KE15D</t>
  </si>
  <si>
    <t>771PMEG2010BELD,315</t>
  </si>
  <si>
    <t>696SMLLX0201USBCTR</t>
  </si>
  <si>
    <t>696SMLLX0201UPGCTR</t>
  </si>
  <si>
    <t>771PDTA143ZMB315</t>
  </si>
  <si>
    <t>667ERJ1GNJ222C</t>
  </si>
  <si>
    <t>667ERJ1GNJ220C</t>
  </si>
  <si>
    <t>667ERJ1GNJ152C</t>
  </si>
  <si>
    <t>667ERJ1GNJ512C</t>
  </si>
  <si>
    <t>667ERJ1GNJ101C</t>
  </si>
  <si>
    <t>667ERJ1GNJ103C</t>
  </si>
  <si>
    <t>611KXT331LHS</t>
  </si>
  <si>
    <t>863NCP163AFCT120T2G</t>
  </si>
  <si>
    <t>863NCP167AFCT330T2G</t>
  </si>
  <si>
    <t>59574CBTD16211DGVR</t>
  </si>
  <si>
    <t>841SGTL5000XNLA3R2</t>
  </si>
  <si>
    <t>863NUF2042XV6T1G</t>
  </si>
  <si>
    <t>842ICE40UP5KSG48I</t>
  </si>
  <si>
    <t>815ASCO24.576EKT</t>
  </si>
  <si>
    <t>Newark</t>
  </si>
  <si>
    <t>92AH5000</t>
  </si>
  <si>
    <t>92AH8251</t>
  </si>
  <si>
    <t>03AJ1531</t>
  </si>
  <si>
    <t>03AJ1576</t>
  </si>
  <si>
    <t>34AH0743</t>
  </si>
  <si>
    <t>94AC8892</t>
  </si>
  <si>
    <t>55W4407</t>
  </si>
  <si>
    <t>30AC6125</t>
  </si>
  <si>
    <t>30AC6124</t>
  </si>
  <si>
    <t>51W5827</t>
  </si>
  <si>
    <t>51W5825</t>
  </si>
  <si>
    <t>51W5889</t>
  </si>
  <si>
    <t>51W5773</t>
  </si>
  <si>
    <t>51W5775</t>
  </si>
  <si>
    <t>39AH6821</t>
  </si>
  <si>
    <t>97AC7861</t>
  </si>
  <si>
    <t>97AC7864</t>
  </si>
  <si>
    <t>31AC6932</t>
  </si>
  <si>
    <t>46AC1428</t>
  </si>
  <si>
    <t>RS Components</t>
  </si>
  <si>
    <t>1851581</t>
  </si>
  <si>
    <t>1797111</t>
  </si>
  <si>
    <t>1797109</t>
  </si>
  <si>
    <t>1797106</t>
  </si>
  <si>
    <t>1797101</t>
  </si>
  <si>
    <t>1797103</t>
  </si>
  <si>
    <t>1861292</t>
  </si>
  <si>
    <t>1861296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</si>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</sst>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c=1&amp;ai=8078&amp;sig=0de3de3&amp;sid=459&amp;ppid=46692789&amp;vpid=410305221&amp;ct=offers" TargetMode="External"/><Relationship Id="rId3" Type="http://schemas.openxmlformats.org/officeDocument/2006/relationships/hyperlink" Target="https://octopart.com/click/track?c=1&amp;ai=8078&amp;sig=0241533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ai=8078&amp;sig=0cdb919&amp;sid=2401&amp;ppid=46692789&amp;vpid=230758256&amp;ct=offers" TargetMode="External"/><Relationship Id="rId6" Type="http://schemas.openxmlformats.org/officeDocument/2006/relationships/hyperlink" Target="https://octopart.com/click/track?c=1&amp;ai=8078&amp;sig=09b4599&amp;sid=2402&amp;ppid=46692789&amp;vpid=669036303&amp;ct=offers" TargetMode="External"/><Relationship Id="rId7" Type="http://schemas.openxmlformats.org/officeDocument/2006/relationships/hyperlink" Target="https://www.murata.com/products/productdetail.aspx?partno=GRM033R60J103KA01D" TargetMode="External"/><Relationship Id="rId8" Type="http://schemas.openxmlformats.org/officeDocument/2006/relationships/hyperlink" Target="https://octopart.com/click/track?ai=8078&amp;sig=0eb3513&amp;sid=459&amp;ppid=17705771&amp;vpid=34233074&amp;ct=offers" TargetMode="External"/><Relationship Id="rId9" Type="http://schemas.openxmlformats.org/officeDocument/2006/relationships/hyperlink" Target="https://octopart.com/click/track?c=1&amp;ai=8078&amp;sig=0b9e7ac&amp;sid=11744&amp;ppid=17705771&amp;vpid=667940842&amp;ct=offers" TargetMode="External"/><Relationship Id="rId10" Type="http://schemas.openxmlformats.org/officeDocument/2006/relationships/hyperlink" Target="https://octopart.com/click/track?ai=8078&amp;sig=0a62904&amp;sid=27971&amp;ppid=17705771&amp;vpid=463597647&amp;ct=offers" TargetMode="External"/><Relationship Id="rId11" Type="http://schemas.openxmlformats.org/officeDocument/2006/relationships/hyperlink" Target="https://octopart.com/click/track?ai=8078&amp;sig=049a764&amp;sid=2401&amp;ppid=17705771&amp;vpid=37711093&amp;ct=offers" TargetMode="External"/><Relationship Id="rId12" Type="http://schemas.openxmlformats.org/officeDocument/2006/relationships/hyperlink" Target="https://octopart.com/click/track?c=1&amp;ai=8078&amp;sig=0a7999f&amp;sid=2402&amp;ppid=17705771&amp;vpid=669843213&amp;ct=offers" TargetMode="External"/><Relationship Id="rId13" Type="http://schemas.openxmlformats.org/officeDocument/2006/relationships/hyperlink" Target="https://www.murata.com/products/productdetail.aspx?partno=GRM033C80J105ME05D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5d4785&amp;sid=27971&amp;ppid=71220979&amp;vpid=552547217&amp;ct=offers" TargetMode="External"/><Relationship Id="rId17" Type="http://schemas.openxmlformats.org/officeDocument/2006/relationships/hyperlink" Target="https://octopart.com/click/track?ai=8078&amp;sig=0e387aa&amp;sid=2401&amp;ppid=71220979&amp;vpid=262231651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www.murata.com/products/productdetail.aspx?partno=GRM155R60J106ME15D" TargetMode="External"/><Relationship Id="rId20" Type="http://schemas.openxmlformats.org/officeDocument/2006/relationships/hyperlink" Target="https://octopart.com/click/track?ai=8078&amp;sig=018ad6b&amp;sid=459&amp;ppid=71220998&amp;vpid=252726526&amp;ct=offers" TargetMode="External"/><Relationship Id="rId21" Type="http://schemas.openxmlformats.org/officeDocument/2006/relationships/hyperlink" Target="https://octopart.com/click/track?c=1&amp;ai=8078&amp;sig=0115312&amp;sid=819&amp;ppid=71220998&amp;vpid=670691894&amp;ct=offers" TargetMode="External"/><Relationship Id="rId22" Type="http://schemas.openxmlformats.org/officeDocument/2006/relationships/hyperlink" Target="https://octopart.com/click/track?ai=8078&amp;sig=0543bf4&amp;sid=27971&amp;ppid=71220998&amp;vpid=582946846&amp;ct=offers" TargetMode="External"/><Relationship Id="rId23" Type="http://schemas.openxmlformats.org/officeDocument/2006/relationships/hyperlink" Target="https://octopart.com/click/track?ai=8078&amp;sig=0b273d0&amp;sid=2401&amp;ppid=71220998&amp;vpid=259388278&amp;ct=offers" TargetMode="External"/><Relationship Id="rId24" Type="http://schemas.openxmlformats.org/officeDocument/2006/relationships/hyperlink" Target="https://octopart.com/click/track?c=1&amp;ai=8078&amp;sig=0c372ee&amp;sid=2402&amp;ppid=71220998&amp;vpid=671481195&amp;ct=offers" TargetMode="External"/><Relationship Id="rId25" Type="http://schemas.openxmlformats.org/officeDocument/2006/relationships/hyperlink" Target="https://www.murata.com/products/productdetail.aspx?partno=GRM035R60J475ME15D" TargetMode="External"/><Relationship Id="rId26" Type="http://schemas.openxmlformats.org/officeDocument/2006/relationships/hyperlink" Target="https://octopart.com/click/track?ai=8078&amp;sig=02d1bd9&amp;sid=459&amp;ppid=67141176&amp;vpid=252726416&amp;ct=offers" TargetMode="External"/><Relationship Id="rId27" Type="http://schemas.openxmlformats.org/officeDocument/2006/relationships/hyperlink" Target="https://octopart.com/click/track?ai=8078&amp;sig=087aedd&amp;sid=11744&amp;ppid=67141176&amp;vpid=585909672&amp;ct=offers" TargetMode="External"/><Relationship Id="rId28" Type="http://schemas.openxmlformats.org/officeDocument/2006/relationships/hyperlink" Target="https://octopart.com/click/track?ai=8078&amp;sig=0ec1763&amp;sid=27971&amp;ppid=67141176&amp;vpid=510777411&amp;ct=offers" TargetMode="External"/><Relationship Id="rId29" Type="http://schemas.openxmlformats.org/officeDocument/2006/relationships/hyperlink" Target="https://octopart.com/click/track?ai=8078&amp;sig=0e8e022&amp;sid=2401&amp;ppid=67141176&amp;vpid=262254328&amp;ct=offers" TargetMode="External"/><Relationship Id="rId30" Type="http://schemas.openxmlformats.org/officeDocument/2006/relationships/hyperlink" Target="https://octopart.com/click/track?ai=8078&amp;sig=02cfcbc&amp;sid=2402&amp;ppid=67141176&amp;vpid=587966703&amp;ct=offers" TargetMode="External"/><Relationship Id="rId31" Type="http://schemas.openxmlformats.org/officeDocument/2006/relationships/hyperlink" Target="https://www.murata.com/products/productdetail.aspx?partno=GRM033R60J224KE15D" TargetMode="External"/><Relationship Id="rId32" Type="http://schemas.openxmlformats.org/officeDocument/2006/relationships/hyperlink" Target="https://octopart.com/click/track?ai=8078&amp;sig=0492ec2&amp;sid=459&amp;ppid=51454422&amp;vpid=172161550&amp;ct=offers" TargetMode="External"/><Relationship Id="rId33" Type="http://schemas.openxmlformats.org/officeDocument/2006/relationships/hyperlink" Target="https://octopart.com/click/track?ai=8078&amp;sig=0efc20f&amp;sid=819&amp;ppid=51454422&amp;vpid=528007216&amp;ct=offers" TargetMode="External"/><Relationship Id="rId34" Type="http://schemas.openxmlformats.org/officeDocument/2006/relationships/hyperlink" Target="https://octopart.com/click/track?ai=8078&amp;sig=0f2788c&amp;sid=27971&amp;ppid=51454422&amp;vpid=445986847&amp;ct=offers" TargetMode="External"/><Relationship Id="rId35" Type="http://schemas.openxmlformats.org/officeDocument/2006/relationships/hyperlink" Target="https://octopart.com/click/track?ai=8078&amp;sig=0207666&amp;sid=2401&amp;ppid=51454422&amp;vpid=178169497&amp;ct=offers" TargetMode="External"/><Relationship Id="rId36" Type="http://schemas.openxmlformats.org/officeDocument/2006/relationships/hyperlink" Target="https://octopart.com/click/track?c=1&amp;ai=8078&amp;sig=01a9cb8&amp;sid=2402&amp;ppid=51454422&amp;vpid=529126546&amp;ct=offers" TargetMode="External"/><Relationship Id="rId37" Type="http://schemas.openxmlformats.org/officeDocument/2006/relationships/hyperlink" Target="https://octopart.com/click/track?ai=8078&amp;sig=0eaea66&amp;sid=10022&amp;ppid=51454422&amp;vpid=562632808&amp;ct=offers" TargetMode="External"/><Relationship Id="rId38" Type="http://schemas.openxmlformats.org/officeDocument/2006/relationships/hyperlink" Target="https://assets.nexperia.com/documents/data-sheet/PMEG2010BELD.pdf" TargetMode="External"/><Relationship Id="rId39" Type="http://schemas.openxmlformats.org/officeDocument/2006/relationships/hyperlink" Target="https://octopart.com/click/track?ai=8078&amp;sig=05f022d&amp;sid=459&amp;ppid=78741408&amp;vpid=417205872&amp;ct=offers" TargetMode="External"/><Relationship Id="rId40" Type="http://schemas.openxmlformats.org/officeDocument/2006/relationships/hyperlink" Target="https://octopart.com/click/track?ai=8078&amp;sig=0858eda&amp;sid=11744&amp;ppid=78741408&amp;vpid=511266259&amp;ct=offers" TargetMode="External"/><Relationship Id="rId41" Type="http://schemas.openxmlformats.org/officeDocument/2006/relationships/hyperlink" Target="https://octopart.com/click/track?ai=8078&amp;sig=077655c&amp;sid=2401&amp;ppid=78741408&amp;vpid=416182007&amp;ct=offers" TargetMode="External"/><Relationship Id="rId42" Type="http://schemas.openxmlformats.org/officeDocument/2006/relationships/hyperlink" Target="https://octopart.com/click/track?ai=8078&amp;sig=02bb9cd&amp;sid=2402&amp;ppid=78741408&amp;vpid=511382518&amp;ct=offers" TargetMode="External"/><Relationship Id="rId43" Type="http://schemas.openxmlformats.org/officeDocument/2006/relationships/hyperlink" Target="https://www.lumex.com/datasheet/SML-LX0201USBC-TR" TargetMode="External"/><Relationship Id="rId44" Type="http://schemas.openxmlformats.org/officeDocument/2006/relationships/hyperlink" Target="https://octopart.com/click/track?ai=8078&amp;sig=034beed&amp;sid=459&amp;ppid=84788744&amp;vpid=439727366&amp;ct=offers" TargetMode="External"/><Relationship Id="rId45" Type="http://schemas.openxmlformats.org/officeDocument/2006/relationships/hyperlink" Target="https://octopart.com/click/track?ai=8078&amp;sig=0ff9f3f&amp;sid=11744&amp;ppid=84788744&amp;vpid=441493967&amp;ct=offers" TargetMode="External"/><Relationship Id="rId46" Type="http://schemas.openxmlformats.org/officeDocument/2006/relationships/hyperlink" Target="https://octopart.com/click/track?ai=8078&amp;sig=0210f61&amp;sid=2401&amp;ppid=84788744&amp;vpid=440311376&amp;ct=offers" TargetMode="External"/><Relationship Id="rId47" Type="http://schemas.openxmlformats.org/officeDocument/2006/relationships/hyperlink" Target="https://octopart.com/click/track?ai=8078&amp;sig=0a83003&amp;sid=2402&amp;ppid=84788744&amp;vpid=441141495&amp;ct=offers" TargetMode="External"/><Relationship Id="rId48" Type="http://schemas.openxmlformats.org/officeDocument/2006/relationships/hyperlink" Target="https://octopart.com/click/track?ai=8078&amp;sig=099a1ee&amp;sid=1532&amp;ppid=84788744&amp;vpid=620806391&amp;ct=offers" TargetMode="External"/><Relationship Id="rId49" Type="http://schemas.openxmlformats.org/officeDocument/2006/relationships/hyperlink" Target="https://www.lumex.com/datasheet/SML-LX0201UPGC-TR" TargetMode="External"/><Relationship Id="rId50" Type="http://schemas.openxmlformats.org/officeDocument/2006/relationships/hyperlink" Target="https://octopart.com/click/track?ai=8078&amp;sig=055564d&amp;sid=459&amp;ppid=84788743&amp;vpid=439727363&amp;ct=offers" TargetMode="External"/><Relationship Id="rId51" Type="http://schemas.openxmlformats.org/officeDocument/2006/relationships/hyperlink" Target="https://octopart.com/click/track?ai=8078&amp;sig=0fcbf2b&amp;sid=819&amp;ppid=84788743&amp;vpid=441301075&amp;ct=offers" TargetMode="External"/><Relationship Id="rId52" Type="http://schemas.openxmlformats.org/officeDocument/2006/relationships/hyperlink" Target="https://octopart.com/click/track?ai=8078&amp;sig=0bea5b7&amp;sid=2401&amp;ppid=84788743&amp;vpid=440311375&amp;ct=offers" TargetMode="External"/><Relationship Id="rId53" Type="http://schemas.openxmlformats.org/officeDocument/2006/relationships/hyperlink" Target="https://octopart.com/click/track?ai=8078&amp;sig=00c45d4&amp;sid=2402&amp;ppid=84788743&amp;vpid=441141494&amp;ct=offers" TargetMode="External"/><Relationship Id="rId54" Type="http://schemas.openxmlformats.org/officeDocument/2006/relationships/hyperlink" Target="https://octopart.com/click/track?ai=8078&amp;sig=00598b7&amp;sid=1532&amp;ppid=84788743&amp;vpid=620806390&amp;ct=offers" TargetMode="External"/><Relationship Id="rId55" Type="http://schemas.openxmlformats.org/officeDocument/2006/relationships/hyperlink" Target="https://drawings-pdf.s3.amazonaws.com/11635.pdf" TargetMode="External"/><Relationship Id="rId56" Type="http://schemas.openxmlformats.org/officeDocument/2006/relationships/hyperlink" Target="https://octopart.com/click/track?c=1&amp;ai=8078&amp;sig=06b804c&amp;sid=459&amp;ppid=22265616&amp;vpid=47550602&amp;ct=offers" TargetMode="External"/><Relationship Id="rId57" Type="http://schemas.openxmlformats.org/officeDocument/2006/relationships/hyperlink" Target="https://drawings-pdf.s3.amazonaws.com/11635.pdf" TargetMode="External"/><Relationship Id="rId58" Type="http://schemas.openxmlformats.org/officeDocument/2006/relationships/hyperlink" Target="https://octopart.com/click/track?c=1&amp;ai=8078&amp;sig=02f1022&amp;sid=459&amp;ppid=22265699&amp;vpid=47550685&amp;ct=offers" TargetMode="External"/><Relationship Id="rId59" Type="http://schemas.openxmlformats.org/officeDocument/2006/relationships/hyperlink" Target="http://www.krhro.com/uploads/soft/180320/1-1P320120243.pdf" TargetMode="External"/><Relationship Id="rId60" Type="http://schemas.openxmlformats.org/officeDocument/2006/relationships/hyperlink" Target="https://octopart.com/click/track?ai=8078&amp;sig=0bf3cd2&amp;sid=27971&amp;ppid=99357592&amp;vpid=531406307&amp;ct=offers" TargetMode="External"/><Relationship Id="rId61" Type="http://schemas.openxmlformats.org/officeDocument/2006/relationships/hyperlink" Target="https://assets.nexperia.com/documents/data-sheet/PDTA143ZMB.pdf" TargetMode="External"/><Relationship Id="rId62" Type="http://schemas.openxmlformats.org/officeDocument/2006/relationships/hyperlink" Target="https://octopart.com/click/track?c=1&amp;ai=8078&amp;sig=0944463&amp;sid=459&amp;ppid=78754604&amp;vpid=413679736&amp;ct=offers" TargetMode="External"/><Relationship Id="rId63" Type="http://schemas.openxmlformats.org/officeDocument/2006/relationships/hyperlink" Target="https://octopart.com/click/track?ai=8078&amp;sig=0d6ccfc&amp;sid=2401&amp;ppid=78754604&amp;vpid=504003500&amp;ct=offers" TargetMode="External"/><Relationship Id="rId64" Type="http://schemas.openxmlformats.org/officeDocument/2006/relationships/hyperlink" Target="https://b2b-api.panasonic.eu/file_stream/pids/fileversion/1242" TargetMode="External"/><Relationship Id="rId65" Type="http://schemas.openxmlformats.org/officeDocument/2006/relationships/hyperlink" Target="https://octopart.com/click/track?ai=8078&amp;sig=0fe0904&amp;sid=459&amp;ppid=44403350&amp;vpid=465235292&amp;ct=offers" TargetMode="External"/><Relationship Id="rId66" Type="http://schemas.openxmlformats.org/officeDocument/2006/relationships/hyperlink" Target="https://octopart.com/click/track?c=1&amp;ai=8078&amp;sig=098df08&amp;sid=819&amp;ppid=44403350&amp;vpid=603690887&amp;ct=offers" TargetMode="External"/><Relationship Id="rId67" Type="http://schemas.openxmlformats.org/officeDocument/2006/relationships/hyperlink" Target="https://octopart.com/click/track?ai=8078&amp;sig=07d1d1b&amp;sid=2401&amp;ppid=44403350&amp;vpid=248150297&amp;ct=offers" TargetMode="External"/><Relationship Id="rId68" Type="http://schemas.openxmlformats.org/officeDocument/2006/relationships/hyperlink" Target="https://octopart.com/click/track?c=1&amp;ai=8078&amp;sig=01bc52e&amp;sid=2402&amp;ppid=44403350&amp;vpid=632042349&amp;ct=offers" TargetMode="External"/><Relationship Id="rId69" Type="http://schemas.openxmlformats.org/officeDocument/2006/relationships/hyperlink" Target="https://octopart.com/click/track?ai=8078&amp;sig=07954d2&amp;sid=10022&amp;ppid=44403350&amp;vpid=527534079&amp;ct=offers" TargetMode="External"/><Relationship Id="rId70" Type="http://schemas.openxmlformats.org/officeDocument/2006/relationships/hyperlink" Target="https://b2b-api.panasonic.eu/file_stream/pids/fileversion/1242" TargetMode="External"/><Relationship Id="rId71" Type="http://schemas.openxmlformats.org/officeDocument/2006/relationships/hyperlink" Target="https://octopart.com/click/track?ai=8078&amp;sig=052dc68&amp;sid=459&amp;ppid=42505965&amp;vpid=465235288&amp;ct=offers" TargetMode="External"/><Relationship Id="rId72" Type="http://schemas.openxmlformats.org/officeDocument/2006/relationships/hyperlink" Target="https://octopart.com/click/track?c=1&amp;ai=8078&amp;sig=0433a1d&amp;sid=819&amp;ppid=42505965&amp;vpid=603690885&amp;ct=offers" TargetMode="External"/><Relationship Id="rId73" Type="http://schemas.openxmlformats.org/officeDocument/2006/relationships/hyperlink" Target="https://octopart.com/click/track?ai=8078&amp;sig=0d716f6&amp;sid=2401&amp;ppid=42505965&amp;vpid=165486571&amp;ct=offers" TargetMode="External"/><Relationship Id="rId74" Type="http://schemas.openxmlformats.org/officeDocument/2006/relationships/hyperlink" Target="https://octopart.com/click/track?c=1&amp;ai=8078&amp;sig=0965e6c&amp;sid=2402&amp;ppid=42505965&amp;vpid=524371516&amp;ct=offers" TargetMode="External"/><Relationship Id="rId75" Type="http://schemas.openxmlformats.org/officeDocument/2006/relationships/hyperlink" Target="https://octopart.com/click/track?ai=8078&amp;sig=0d0f8f3&amp;sid=10022&amp;ppid=42505965&amp;vpid=527534077&amp;ct=offers" TargetMode="External"/><Relationship Id="rId76" Type="http://schemas.openxmlformats.org/officeDocument/2006/relationships/hyperlink" Target="https://b2b-api.panasonic.eu/file_stream/pids/fileversion/1242" TargetMode="External"/><Relationship Id="rId77" Type="http://schemas.openxmlformats.org/officeDocument/2006/relationships/hyperlink" Target="https://octopart.com/click/track?ai=8078&amp;sig=06f5537&amp;sid=459&amp;ppid=55940368&amp;vpid=465235230&amp;ct=offers" TargetMode="External"/><Relationship Id="rId78" Type="http://schemas.openxmlformats.org/officeDocument/2006/relationships/hyperlink" Target="https://octopart.com/click/track?c=1&amp;ai=8078&amp;sig=031cc2c&amp;sid=819&amp;ppid=55940368&amp;vpid=603690856&amp;ct=offers" TargetMode="External"/><Relationship Id="rId79" Type="http://schemas.openxmlformats.org/officeDocument/2006/relationships/hyperlink" Target="https://octopart.com/click/track?ai=8078&amp;sig=01a465a&amp;sid=2401&amp;ppid=55940368&amp;vpid=165486557&amp;ct=offers" TargetMode="External"/><Relationship Id="rId80" Type="http://schemas.openxmlformats.org/officeDocument/2006/relationships/hyperlink" Target="https://octopart.com/click/track?ai=8078&amp;sig=0e8e49e&amp;sid=10022&amp;ppid=55940368&amp;vpid=527534074&amp;ct=offers" TargetMode="External"/><Relationship Id="rId81" Type="http://schemas.openxmlformats.org/officeDocument/2006/relationships/hyperlink" Target="https://b2b-api.panasonic.eu/file_stream/pids/fileversion/1242" TargetMode="External"/><Relationship Id="rId82" Type="http://schemas.openxmlformats.org/officeDocument/2006/relationships/hyperlink" Target="https://octopart.com/click/track?ai=8078&amp;sig=0dd36dc&amp;sid=459&amp;ppid=66942597&amp;vpid=465235418&amp;ct=offers" TargetMode="External"/><Relationship Id="rId83" Type="http://schemas.openxmlformats.org/officeDocument/2006/relationships/hyperlink" Target="https://octopart.com/click/track?c=1&amp;ai=8078&amp;sig=01b939b&amp;sid=819&amp;ppid=66942597&amp;vpid=603690950&amp;ct=offers" TargetMode="External"/><Relationship Id="rId84" Type="http://schemas.openxmlformats.org/officeDocument/2006/relationships/hyperlink" Target="https://octopart.com/click/track?ai=8078&amp;sig=07a33f5&amp;sid=2401&amp;ppid=66942597&amp;vpid=265943161&amp;ct=offers" TargetMode="External"/><Relationship Id="rId85" Type="http://schemas.openxmlformats.org/officeDocument/2006/relationships/hyperlink" Target="https://octopart.com/click/track?c=1&amp;ai=8078&amp;sig=0cb0675&amp;sid=2402&amp;ppid=66942597&amp;vpid=669843420&amp;ct=offers" TargetMode="External"/><Relationship Id="rId86" Type="http://schemas.openxmlformats.org/officeDocument/2006/relationships/hyperlink" Target="https://b2b-api.panasonic.eu/file_stream/pids/fileversion/1242" TargetMode="External"/><Relationship Id="rId87" Type="http://schemas.openxmlformats.org/officeDocument/2006/relationships/hyperlink" Target="https://octopart.com/click/track?ai=8078&amp;sig=080fecf&amp;sid=459&amp;ppid=44403300&amp;vpid=465235178&amp;ct=offers" TargetMode="External"/><Relationship Id="rId88" Type="http://schemas.openxmlformats.org/officeDocument/2006/relationships/hyperlink" Target="https://octopart.com/click/track?c=1&amp;ai=8078&amp;sig=0b30f5a&amp;sid=819&amp;ppid=44403300&amp;vpid=603690830&amp;ct=offers" TargetMode="External"/><Relationship Id="rId89" Type="http://schemas.openxmlformats.org/officeDocument/2006/relationships/hyperlink" Target="https://octopart.com/click/track?ai=8078&amp;sig=08d00b1&amp;sid=27971&amp;ppid=44403300&amp;vpid=669037577&amp;ct=offers" TargetMode="External"/><Relationship Id="rId90" Type="http://schemas.openxmlformats.org/officeDocument/2006/relationships/hyperlink" Target="https://octopart.com/click/track?ai=8078&amp;sig=0e9f721&amp;sid=2401&amp;ppid=44403300&amp;vpid=165486549&amp;ct=offers" TargetMode="External"/><Relationship Id="rId91" Type="http://schemas.openxmlformats.org/officeDocument/2006/relationships/hyperlink" Target="https://octopart.com/click/track?c=1&amp;ai=8078&amp;sig=0f3777c&amp;sid=2402&amp;ppid=44403300&amp;vpid=166626673&amp;ct=offers" TargetMode="External"/><Relationship Id="rId92" Type="http://schemas.openxmlformats.org/officeDocument/2006/relationships/hyperlink" Target="https://octopart.com/click/track?ai=8078&amp;sig=05f26cb&amp;sid=10022&amp;ppid=44403300&amp;vpid=527534069&amp;ct=offers" TargetMode="External"/><Relationship Id="rId93" Type="http://schemas.openxmlformats.org/officeDocument/2006/relationships/hyperlink" Target="https://b2b-api.panasonic.eu/file_stream/pids/fileversion/1242" TargetMode="External"/><Relationship Id="rId94" Type="http://schemas.openxmlformats.org/officeDocument/2006/relationships/hyperlink" Target="https://octopart.com/click/track?ai=8078&amp;sig=0301d78&amp;sid=459&amp;ppid=44322539&amp;vpid=465235182&amp;ct=offers" TargetMode="External"/><Relationship Id="rId95" Type="http://schemas.openxmlformats.org/officeDocument/2006/relationships/hyperlink" Target="https://octopart.com/click/track?c=1&amp;ai=8078&amp;sig=0fd9335&amp;sid=819&amp;ppid=44322539&amp;vpid=603690832&amp;ct=offers" TargetMode="External"/><Relationship Id="rId96" Type="http://schemas.openxmlformats.org/officeDocument/2006/relationships/hyperlink" Target="https://octopart.com/click/track?ai=8078&amp;sig=06c973b&amp;sid=27971&amp;ppid=44322539&amp;vpid=495511688&amp;ct=offers" TargetMode="External"/><Relationship Id="rId97" Type="http://schemas.openxmlformats.org/officeDocument/2006/relationships/hyperlink" Target="https://octopart.com/click/track?ai=8078&amp;sig=0a64394&amp;sid=2401&amp;ppid=44322539&amp;vpid=120580014&amp;ct=offers" TargetMode="External"/><Relationship Id="rId98" Type="http://schemas.openxmlformats.org/officeDocument/2006/relationships/hyperlink" Target="https://octopart.com/click/track?c=1&amp;ai=8078&amp;sig=050ae47&amp;sid=2402&amp;ppid=44322539&amp;vpid=173683819&amp;ct=offers" TargetMode="External"/><Relationship Id="rId99" Type="http://schemas.openxmlformats.org/officeDocument/2006/relationships/hyperlink" Target="https://octopart.com/click/track?ai=8078&amp;sig=0dcb783&amp;sid=10022&amp;ppid=44322539&amp;vpid=527534071&amp;ct=offers" TargetMode="External"/><Relationship Id="rId100" Type="http://schemas.openxmlformats.org/officeDocument/2006/relationships/hyperlink" Target="https://www.ckswitches.com/media/1465/kxt3.pdf" TargetMode="External"/><Relationship Id="rId101" Type="http://schemas.openxmlformats.org/officeDocument/2006/relationships/hyperlink" Target="https://octopart.com/click/track?ai=8078&amp;sig=0d4eb4c&amp;sid=459&amp;ppid=81056066&amp;vpid=409558694&amp;ct=offers" TargetMode="External"/><Relationship Id="rId102" Type="http://schemas.openxmlformats.org/officeDocument/2006/relationships/hyperlink" Target="https://octopart.com/click/track?ai=8078&amp;sig=050d0ca&amp;sid=11744&amp;ppid=81056066&amp;vpid=573795783&amp;ct=offers" TargetMode="External"/><Relationship Id="rId103" Type="http://schemas.openxmlformats.org/officeDocument/2006/relationships/hyperlink" Target="https://octopart.com/click/track?ai=8078&amp;sig=008adb4&amp;sid=27971&amp;ppid=81056066&amp;vpid=492569844&amp;ct=offers" TargetMode="External"/><Relationship Id="rId104" Type="http://schemas.openxmlformats.org/officeDocument/2006/relationships/hyperlink" Target="https://octopart.com/click/track?ai=8078&amp;sig=025af0b&amp;sid=2401&amp;ppid=81056066&amp;vpid=418675926&amp;ct=offers" TargetMode="External"/><Relationship Id="rId105" Type="http://schemas.openxmlformats.org/officeDocument/2006/relationships/hyperlink" Target="https://octopart.com/click/track?c=1&amp;ai=8078&amp;sig=0497a32&amp;sid=2402&amp;ppid=81056066&amp;vpid=591711210&amp;ct=offers" TargetMode="External"/><Relationship Id="rId106" Type="http://schemas.openxmlformats.org/officeDocument/2006/relationships/hyperlink" Target="https://octopart.com/click/track?ai=8078&amp;sig=045d0e8&amp;sid=1532&amp;ppid=81056066&amp;vpid=547498255&amp;ct=offers" TargetMode="External"/><Relationship Id="rId107" Type="http://schemas.openxmlformats.org/officeDocument/2006/relationships/hyperlink" Target="https://www.onsemi.com/pub/Collateral/NCP163-D.PDF" TargetMode="External"/><Relationship Id="rId108" Type="http://schemas.openxmlformats.org/officeDocument/2006/relationships/hyperlink" Target="https://octopart.com/click/track?ai=8078&amp;sig=09c93ea&amp;sid=459&amp;ppid=97430324&amp;vpid=530205246&amp;ct=offers" TargetMode="External"/><Relationship Id="rId109" Type="http://schemas.openxmlformats.org/officeDocument/2006/relationships/hyperlink" Target="https://octopart.com/click/track?ai=8078&amp;sig=0067d69&amp;sid=819&amp;ppid=97430324&amp;vpid=530799187&amp;ct=offers" TargetMode="External"/><Relationship Id="rId110" Type="http://schemas.openxmlformats.org/officeDocument/2006/relationships/hyperlink" Target="https://octopart.com/click/track?ai=8078&amp;sig=01a0ea2&amp;sid=2401&amp;ppid=97430324&amp;vpid=523401653&amp;ct=offers" TargetMode="External"/><Relationship Id="rId111" Type="http://schemas.openxmlformats.org/officeDocument/2006/relationships/hyperlink" Target="https://octopart.com/click/track?ai=8078&amp;sig=05fa962&amp;sid=2402&amp;ppid=97430324&amp;vpid=531928849&amp;ct=offers" TargetMode="External"/><Relationship Id="rId112" Type="http://schemas.openxmlformats.org/officeDocument/2006/relationships/hyperlink" Target="https://octopart.com/click/track?ai=8078&amp;sig=0934e9c&amp;sid=10022&amp;ppid=97430324&amp;vpid=562641301&amp;ct=offers" TargetMode="External"/><Relationship Id="rId113" Type="http://schemas.openxmlformats.org/officeDocument/2006/relationships/hyperlink" Target="https://www.onsemi.com/pub/Collateral/NCP167-D.PDF" TargetMode="External"/><Relationship Id="rId114" Type="http://schemas.openxmlformats.org/officeDocument/2006/relationships/hyperlink" Target="https://octopart.com/click/track?ai=8078&amp;sig=0d010f3&amp;sid=459&amp;ppid=86977118&amp;vpid=530205255&amp;ct=offers" TargetMode="External"/><Relationship Id="rId115" Type="http://schemas.openxmlformats.org/officeDocument/2006/relationships/hyperlink" Target="https://octopart.com/click/track?ai=8078&amp;sig=065c37d&amp;sid=819&amp;ppid=86977118&amp;vpid=530799203&amp;ct=offers" TargetMode="External"/><Relationship Id="rId116" Type="http://schemas.openxmlformats.org/officeDocument/2006/relationships/hyperlink" Target="https://octopart.com/click/track?ai=8078&amp;sig=09fdc63&amp;sid=2401&amp;ppid=86977118&amp;vpid=523401656&amp;ct=offers" TargetMode="External"/><Relationship Id="rId117" Type="http://schemas.openxmlformats.org/officeDocument/2006/relationships/hyperlink" Target="https://octopart.com/click/track?ai=8078&amp;sig=01870dc&amp;sid=2402&amp;ppid=86977118&amp;vpid=531928852&amp;ct=offers" TargetMode="External"/><Relationship Id="rId118" Type="http://schemas.openxmlformats.org/officeDocument/2006/relationships/hyperlink" Target="https://octopart.com/click/track?ai=8078&amp;sig=05f067e&amp;sid=10022&amp;ppid=86977118&amp;vpid=562641317&amp;ct=offers" TargetMode="External"/><Relationship Id="rId119" Type="http://schemas.openxmlformats.org/officeDocument/2006/relationships/hyperlink" Target="https://www.ti.com/lit/ds/symlink/sn74cbtd16211.pdf" TargetMode="External"/><Relationship Id="rId120" Type="http://schemas.openxmlformats.org/officeDocument/2006/relationships/hyperlink" Target="https://octopart.com/click/track?c=1&amp;ai=8078&amp;sig=0aac5c3&amp;sid=459&amp;ppid=472676&amp;vpid=1588405&amp;ct=offers" TargetMode="External"/><Relationship Id="rId121" Type="http://schemas.openxmlformats.org/officeDocument/2006/relationships/hyperlink" Target="https://octopart.com/click/track?ai=8078&amp;sig=0681b00&amp;sid=2401&amp;ppid=472676&amp;vpid=46887142&amp;ct=offers" TargetMode="External"/><Relationship Id="rId122" Type="http://schemas.openxmlformats.org/officeDocument/2006/relationships/hyperlink" Target="https://www.nxp.com/docs/en/data-sheet/SGTL5000.pdf" TargetMode="External"/><Relationship Id="rId123" Type="http://schemas.openxmlformats.org/officeDocument/2006/relationships/hyperlink" Target="https://octopart.com/click/track?c=1&amp;ai=8078&amp;sig=04c3e2a&amp;sid=459&amp;ppid=70302734&amp;vpid=355515742&amp;ct=offers" TargetMode="External"/><Relationship Id="rId124" Type="http://schemas.openxmlformats.org/officeDocument/2006/relationships/hyperlink" Target="https://octopart.com/click/track?c=1&amp;ai=8078&amp;sig=026e336&amp;sid=819&amp;ppid=70302734&amp;vpid=441865499&amp;ct=offers" TargetMode="External"/><Relationship Id="rId125" Type="http://schemas.openxmlformats.org/officeDocument/2006/relationships/hyperlink" Target="https://octopart.com/click/track?c=1&amp;ai=8078&amp;sig=0914646&amp;sid=2401&amp;ppid=70302734&amp;vpid=251555961&amp;ct=offers" TargetMode="External"/><Relationship Id="rId126" Type="http://schemas.openxmlformats.org/officeDocument/2006/relationships/hyperlink" Target="https://octopart.com/click/track?ai=8078&amp;sig=0cd2873&amp;sid=2402&amp;ppid=70302734&amp;vpid=444018517&amp;ct=offers" TargetMode="External"/><Relationship Id="rId127" Type="http://schemas.openxmlformats.org/officeDocument/2006/relationships/hyperlink" Target="https://www.onsemi.com/pub/Collateral/NUF2030XV6-D.PDF" TargetMode="External"/><Relationship Id="rId128" Type="http://schemas.openxmlformats.org/officeDocument/2006/relationships/hyperlink" Target="https://octopart.com/click/track?ai=8078&amp;sig=021b9a1&amp;sid=459&amp;ppid=1432420&amp;vpid=34063078&amp;ct=offers" TargetMode="External"/><Relationship Id="rId129" Type="http://schemas.openxmlformats.org/officeDocument/2006/relationships/hyperlink" Target="https://octopart.com/click/track?ai=8078&amp;sig=0f9e80e&amp;sid=11744&amp;ppid=1432420&amp;vpid=464605090&amp;ct=offers" TargetMode="External"/><Relationship Id="rId130" Type="http://schemas.openxmlformats.org/officeDocument/2006/relationships/hyperlink" Target="https://octopart.com/click/track?ai=8078&amp;sig=0c3a6ce&amp;sid=27971&amp;ppid=1432420&amp;vpid=480959300&amp;ct=offers" TargetMode="External"/><Relationship Id="rId131" Type="http://schemas.openxmlformats.org/officeDocument/2006/relationships/hyperlink" Target="https://octopart.com/click/track?ai=8078&amp;sig=0bda339&amp;sid=2401&amp;ppid=1432420&amp;vpid=37670933&amp;ct=offers" TargetMode="External"/><Relationship Id="rId132" Type="http://schemas.openxmlformats.org/officeDocument/2006/relationships/hyperlink" Target="https://octopart.com/click/track?ai=8078&amp;sig=02bcbf3&amp;sid=2402&amp;ppid=1432420&amp;vpid=462366243&amp;ct=offers" TargetMode="External"/><Relationship Id="rId133" Type="http://schemas.openxmlformats.org/officeDocument/2006/relationships/hyperlink" Target="https://octopart.com/click/track?ai=8078&amp;sig=0d0b068&amp;sid=10022&amp;ppid=1432420&amp;vpid=199088821&amp;ct=offers" TargetMode="External"/><Relationship Id="rId134" Type="http://schemas.openxmlformats.org/officeDocument/2006/relationships/hyperlink" Target="https://octopart.com/click/track?ai=8078&amp;sig=00f1b91&amp;sid=1532&amp;ppid=1432420&amp;vpid=430925339&amp;ct=offers" TargetMode="External"/><Relationship Id="rId135" Type="http://schemas.openxmlformats.org/officeDocument/2006/relationships/hyperlink" Target="https://www.apmemory.com/wp-content/uploads/APM_PSRAM_QSPI-APS6404L-3SQR-v2.3-PKG.pdf" TargetMode="External"/><Relationship Id="rId136" Type="http://schemas.openxmlformats.org/officeDocument/2006/relationships/hyperlink" Target="https://www.winbond.com/resource-files/w25q128jv%20revf%2003272018%20plus.pdf" TargetMode="External"/><Relationship Id="rId137" Type="http://schemas.openxmlformats.org/officeDocument/2006/relationships/hyperlink" Target="https://octopart.com/click/track?c=1&amp;ai=8078&amp;sig=027d369&amp;sid=459&amp;ppid=81762594&amp;vpid=420816932&amp;ct=offers" TargetMode="External"/><Relationship Id="rId138" Type="http://schemas.openxmlformats.org/officeDocument/2006/relationships/hyperlink" Target="http://www.latticesemi.com/Products/FPGAandCPLD/iCE40UltraPlus" TargetMode="External"/><Relationship Id="rId139" Type="http://schemas.openxmlformats.org/officeDocument/2006/relationships/hyperlink" Target="https://octopart.com/click/track?c=1&amp;ai=8078&amp;sig=08e94d1&amp;sid=459&amp;ppid=87369311&amp;vpid=495120370&amp;ct=offers" TargetMode="External"/><Relationship Id="rId140" Type="http://schemas.openxmlformats.org/officeDocument/2006/relationships/hyperlink" Target="https://octopart.com/click/track?ai=8078&amp;sig=00e2810&amp;sid=2401&amp;ppid=87369311&amp;vpid=477152809&amp;ct=offers" TargetMode="External"/><Relationship Id="rId141" Type="http://schemas.openxmlformats.org/officeDocument/2006/relationships/hyperlink" Target="https://abracon.com/Oscillators/ASCO.pdf" TargetMode="External"/><Relationship Id="rId142" Type="http://schemas.openxmlformats.org/officeDocument/2006/relationships/hyperlink" Target="https://octopart.com/click/track?c=1&amp;ai=8078&amp;sig=0be0a02&amp;sid=459&amp;ppid=29811390&amp;vpid=178936426&amp;ct=offers" TargetMode="External"/><Relationship Id="rId143" Type="http://schemas.openxmlformats.org/officeDocument/2006/relationships/hyperlink" Target="https://octopart.com/click/track?ai=8078&amp;sig=075fb49&amp;sid=2401&amp;ppid=29811390&amp;vpid=82575101&amp;ct=offers" TargetMode="External"/><Relationship Id="rId144" Type="http://schemas.openxmlformats.org/officeDocument/2006/relationships/hyperlink" Target="https://www.arrow.com/en/bom-tool/" TargetMode="External"/><Relationship Id="rId145" Type="http://schemas.openxmlformats.org/officeDocument/2006/relationships/hyperlink" Target="https://www.digikey.com/ordering/shoppingcart" TargetMode="External"/><Relationship Id="rId146" Type="http://schemas.openxmlformats.org/officeDocument/2006/relationships/hyperlink" Target="https://www.newark.com/quick-order?isQuickPaste=true" TargetMode="External"/><Relationship Id="rId147" Type="http://schemas.openxmlformats.org/officeDocument/2006/relationships/hyperlink" Target="https://lcsc.com/bom.html" TargetMode="External"/><Relationship Id="rId148" Type="http://schemas.openxmlformats.org/officeDocument/2006/relationships/hyperlink" Target="https://mouser.com/bom/" TargetMode="External"/><Relationship Id="rId149" Type="http://schemas.openxmlformats.org/officeDocument/2006/relationships/hyperlink" Target="https://www.newark.com/quick-order?isQuickPaste=true" TargetMode="External"/><Relationship Id="rId150" Type="http://schemas.openxmlformats.org/officeDocument/2006/relationships/hyperlink" Target="https://uk.rs-online.com/web/mylists/manualQuotes.html?method=showEnquiryCreationPage&amp;mode=new" TargetMode="External"/><Relationship Id="rId151" Type="http://schemas.openxmlformats.org/officeDocument/2006/relationships/hyperlink" Target="https://www.tme.eu/en/Profile/QuickBuy/load.html" TargetMode="External"/><Relationship Id="rId152" Type="http://schemas.openxmlformats.org/officeDocument/2006/relationships/vmlDrawing" Target="../drawings/vmlDrawing1.vml"/><Relationship Id="rId15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159</v>
      </c>
      <c r="B1" s="2" t="s">
        <v>160</v>
      </c>
      <c r="I1" s="3" t="s">
        <v>165</v>
      </c>
      <c r="J1" s="3">
        <v>100</v>
      </c>
    </row>
    <row r="2" spans="1:50">
      <c r="A2" s="1" t="s">
        <v>161</v>
      </c>
      <c r="B2" s="2" t="s">
        <v>162</v>
      </c>
      <c r="I2" s="1" t="s">
        <v>167</v>
      </c>
      <c r="J2" s="4">
        <f>TotalCost/BoardQty</f>
        <v>0</v>
      </c>
    </row>
    <row r="3" spans="1:50">
      <c r="A3" s="1" t="s">
        <v>163</v>
      </c>
      <c r="B3" s="2" t="s">
        <v>164</v>
      </c>
      <c r="I3" s="1" t="s">
        <v>166</v>
      </c>
      <c r="J3" s="5">
        <f>SUM(J7:J35)</f>
        <v>0</v>
      </c>
      <c r="N3" s="5">
        <f>SUM(N7:N35)</f>
        <v>0</v>
      </c>
      <c r="O3" s="6">
        <f>(COUNTA(N7:N35)&amp;" of "&amp;ROWS(N7:N35)&amp;" parts found")</f>
        <v>0</v>
      </c>
      <c r="S3" s="5">
        <f>SUM(S7:S35)</f>
        <v>0</v>
      </c>
      <c r="T3" s="6">
        <f>(COUNTA(S7:S35)&amp;" of "&amp;ROWS(S7:S35)&amp;" parts found")</f>
        <v>0</v>
      </c>
      <c r="X3" s="5">
        <f>SUM(X7:X35)</f>
        <v>0</v>
      </c>
      <c r="Y3" s="6">
        <f>(COUNTA(X7:X35)&amp;" of "&amp;ROWS(X7:X35)&amp;" parts found")</f>
        <v>0</v>
      </c>
      <c r="AC3" s="5">
        <f>SUM(AC7:AC35)</f>
        <v>0</v>
      </c>
      <c r="AD3" s="6">
        <f>(COUNTA(AC7:AC35)&amp;" of "&amp;ROWS(AC7:AC35)&amp;" parts found")</f>
        <v>0</v>
      </c>
      <c r="AH3" s="5">
        <f>SUM(AH7:AH35)</f>
        <v>0</v>
      </c>
      <c r="AI3" s="6">
        <f>(COUNTA(AH7:AH35)&amp;" of "&amp;ROWS(AH7:AH35)&amp;" parts found")</f>
        <v>0</v>
      </c>
      <c r="AM3" s="5">
        <f>SUM(AM7:AM35)</f>
        <v>0</v>
      </c>
      <c r="AN3" s="6">
        <f>(COUNTA(AM7:AM35)&amp;" of "&amp;ROWS(AM7:AM35)&amp;" parts found")</f>
        <v>0</v>
      </c>
      <c r="AR3" s="5">
        <f>SUM(AR7:AR35)</f>
        <v>0</v>
      </c>
      <c r="AS3" s="6">
        <f>(COUNTA(AR7:AR35)&amp;" of "&amp;ROWS(AR7:AR35)&amp;" parts found")</f>
        <v>0</v>
      </c>
      <c r="AW3" s="5">
        <f>SUM(AW7:AW35)</f>
        <v>0</v>
      </c>
      <c r="AX3" s="6">
        <f>(COUNTA(AW7:AW35)&amp;" of "&amp;ROWS(AW7:AW35)&amp;" parts found")</f>
        <v>0</v>
      </c>
    </row>
    <row r="4" spans="1:50">
      <c r="A4" s="1" t="s">
        <v>168</v>
      </c>
      <c r="B4" s="2" t="s">
        <v>169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170</v>
      </c>
      <c r="L5" s="8"/>
      <c r="M5" s="8"/>
      <c r="N5" s="8"/>
      <c r="O5" s="8"/>
      <c r="P5" s="9" t="s">
        <v>175</v>
      </c>
      <c r="Q5" s="9"/>
      <c r="R5" s="9"/>
      <c r="S5" s="9"/>
      <c r="T5" s="9"/>
      <c r="U5" s="10" t="s">
        <v>204</v>
      </c>
      <c r="V5" s="10"/>
      <c r="W5" s="10"/>
      <c r="X5" s="10"/>
      <c r="Y5" s="10"/>
      <c r="Z5" s="11" t="s">
        <v>225</v>
      </c>
      <c r="AA5" s="11"/>
      <c r="AB5" s="11"/>
      <c r="AC5" s="11"/>
      <c r="AD5" s="11"/>
      <c r="AE5" s="12" t="s">
        <v>237</v>
      </c>
      <c r="AF5" s="12"/>
      <c r="AG5" s="12"/>
      <c r="AH5" s="12"/>
      <c r="AI5" s="12"/>
      <c r="AJ5" s="13" t="s">
        <v>262</v>
      </c>
      <c r="AK5" s="13"/>
      <c r="AL5" s="13"/>
      <c r="AM5" s="13"/>
      <c r="AN5" s="13"/>
      <c r="AO5" s="14" t="s">
        <v>282</v>
      </c>
      <c r="AP5" s="14"/>
      <c r="AQ5" s="14"/>
      <c r="AR5" s="14"/>
      <c r="AS5" s="14"/>
      <c r="AT5" s="15" t="s">
        <v>292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171</v>
      </c>
      <c r="L6" s="16" t="s">
        <v>172</v>
      </c>
      <c r="M6" s="16" t="s">
        <v>8</v>
      </c>
      <c r="N6" s="16" t="s">
        <v>9</v>
      </c>
      <c r="O6" s="16" t="s">
        <v>173</v>
      </c>
      <c r="P6" s="16" t="s">
        <v>171</v>
      </c>
      <c r="Q6" s="16" t="s">
        <v>172</v>
      </c>
      <c r="R6" s="16" t="s">
        <v>8</v>
      </c>
      <c r="S6" s="16" t="s">
        <v>9</v>
      </c>
      <c r="T6" s="16" t="s">
        <v>173</v>
      </c>
      <c r="U6" s="16" t="s">
        <v>171</v>
      </c>
      <c r="V6" s="16" t="s">
        <v>172</v>
      </c>
      <c r="W6" s="16" t="s">
        <v>8</v>
      </c>
      <c r="X6" s="16" t="s">
        <v>9</v>
      </c>
      <c r="Y6" s="16" t="s">
        <v>173</v>
      </c>
      <c r="Z6" s="16" t="s">
        <v>171</v>
      </c>
      <c r="AA6" s="16" t="s">
        <v>172</v>
      </c>
      <c r="AB6" s="16" t="s">
        <v>8</v>
      </c>
      <c r="AC6" s="16" t="s">
        <v>9</v>
      </c>
      <c r="AD6" s="16" t="s">
        <v>173</v>
      </c>
      <c r="AE6" s="16" t="s">
        <v>171</v>
      </c>
      <c r="AF6" s="16" t="s">
        <v>172</v>
      </c>
      <c r="AG6" s="16" t="s">
        <v>8</v>
      </c>
      <c r="AH6" s="16" t="s">
        <v>9</v>
      </c>
      <c r="AI6" s="16" t="s">
        <v>173</v>
      </c>
      <c r="AJ6" s="16" t="s">
        <v>171</v>
      </c>
      <c r="AK6" s="16" t="s">
        <v>172</v>
      </c>
      <c r="AL6" s="16" t="s">
        <v>8</v>
      </c>
      <c r="AM6" s="16" t="s">
        <v>9</v>
      </c>
      <c r="AN6" s="16" t="s">
        <v>173</v>
      </c>
      <c r="AO6" s="16" t="s">
        <v>171</v>
      </c>
      <c r="AP6" s="16" t="s">
        <v>172</v>
      </c>
      <c r="AQ6" s="16" t="s">
        <v>8</v>
      </c>
      <c r="AR6" s="16" t="s">
        <v>9</v>
      </c>
      <c r="AS6" s="16" t="s">
        <v>173</v>
      </c>
      <c r="AT6" s="16" t="s">
        <v>171</v>
      </c>
      <c r="AU6" s="16" t="s">
        <v>172</v>
      </c>
      <c r="AV6" s="16" t="s">
        <v>8</v>
      </c>
      <c r="AW6" s="16" t="s">
        <v>9</v>
      </c>
      <c r="AX6" s="16" t="s">
        <v>173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177</v>
      </c>
      <c r="R7" s="18">
        <f>iferror(lookup(if(Q7="",H7,Q7),{0,1,10,50,100,500,1000,2500,5000,10000,20000,30000,50000,100000,250000},{0.0,0.28,0.19,0.1138,0.0961,0.06578,0.05819,0.05566,0.0506,0.04807,0.04554,0.04301,0.04048,0.03416,0.03036}),"")</f>
        <v>0</v>
      </c>
      <c r="S7" s="18">
        <f>iferror(if(Q7="",H7,Q7)*R7,"")</f>
        <v>0</v>
      </c>
      <c r="T7" s="20" t="s">
        <v>176</v>
      </c>
      <c r="U7" s="19" t="s">
        <v>177</v>
      </c>
      <c r="W7" s="18">
        <f>iferror(USD_GBP*lookup(if(V7="",H7,V7),{0,1,10,100,150,500,2500,5000,10000,50000},{0.0,0.108,0.108,0.0619,0.0619,0.0471,0.035,0.0289,0.0241,0.0206}),"")</f>
        <v>0</v>
      </c>
      <c r="X7" s="18">
        <f>iferror(if(V7="",H7,V7)*W7,"")</f>
        <v>0</v>
      </c>
      <c r="Y7" s="20" t="s">
        <v>205</v>
      </c>
      <c r="Z7" s="17">
        <v>9880</v>
      </c>
      <c r="AB7" s="18">
        <f>iferror(lookup(if(AA7="",H7,AA7),{0,1,10,100,300,1000,5000,10000},{0.0,0.0588,0.0588,0.0453,0.0429,0.0404,0.0393,0.0388}),"")</f>
        <v>0</v>
      </c>
      <c r="AC7" s="18">
        <f>iferror(if(AA7="",H7,AA7)*AB7,"")</f>
        <v>0</v>
      </c>
      <c r="AD7" s="20" t="s">
        <v>226</v>
      </c>
      <c r="AE7" s="17">
        <v>7700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20" t="s">
        <v>238</v>
      </c>
      <c r="AJ7" s="19" t="s">
        <v>177</v>
      </c>
      <c r="AL7" s="18">
        <f>iferror(lookup(if(AK7="",H7,AK7),{0,1,10,25,50,100,250},{0.0,0.174,0.174,0.154,0.094,0.076,0.064}),"")</f>
        <v>0</v>
      </c>
      <c r="AM7" s="18">
        <f>iferror(if(AK7="",H7,AK7)*AL7,"")</f>
        <v>0</v>
      </c>
      <c r="AN7" s="20" t="s">
        <v>263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395692</v>
      </c>
      <c r="R8" s="18">
        <f>iferror(lookup(if(Q8="",H8,Q8),{0,1,10,50,100,500,1000,2500,5000,15000,30000,75000,105000,150000,375000},{0.0,0.1,0.025,0.0138,0.0113,0.00808,0.00635,0.00578,0.00531,0.00462,0.00439,0.00393,0.00318,0.00307,0.00277}),"")</f>
        <v>0</v>
      </c>
      <c r="S8" s="18">
        <f>iferror(if(Q8="",H8,Q8)*R8,"")</f>
        <v>0</v>
      </c>
      <c r="T8" s="20" t="s">
        <v>178</v>
      </c>
      <c r="U8" s="19" t="s">
        <v>177</v>
      </c>
      <c r="W8" s="18">
        <f>iferror(USD_GBP*lookup(if(V8="",H8,V8),{0,1,10,100,150,500,2500,7500,15000,75000},{0.0,0.0066,0.0066,0.0054,0.0054,0.0041,0.0029,0.0026,0.0022,0.0017}),"")</f>
        <v>0</v>
      </c>
      <c r="X8" s="18">
        <f>iferror(if(V8="",H8,V8)*W8,"")</f>
        <v>0</v>
      </c>
      <c r="Y8" s="20" t="s">
        <v>206</v>
      </c>
      <c r="Z8" s="17">
        <v>600</v>
      </c>
      <c r="AB8" s="18">
        <f>iferror(lookup(if(AA8="",H8,AA8),{0,1,100,1000,3000,10000,50000,100000},{0.0,0.002,0.002,0.0016,0.0015,0.0014,0.0014,0.0013}),"")</f>
        <v>0</v>
      </c>
      <c r="AC8" s="18">
        <f>iferror(if(AA8="",H8,AA8)*AB8,"")</f>
        <v>0</v>
      </c>
      <c r="AD8" s="20" t="s">
        <v>227</v>
      </c>
      <c r="AE8" s="17">
        <v>201502</v>
      </c>
      <c r="AG8" s="18">
        <f>iferror(lookup(if(AF8="",H8,AF8),{0,1,10,50,100,1000,10000},{0.0,0.1,0.027,0.027,0.011,0.006,0.005}),"")</f>
        <v>0</v>
      </c>
      <c r="AH8" s="18">
        <f>iferror(if(AF8="",H8,AF8)*AG8,"")</f>
        <v>0</v>
      </c>
      <c r="AI8" s="20" t="s">
        <v>239</v>
      </c>
      <c r="AJ8" s="19" t="s">
        <v>177</v>
      </c>
      <c r="AL8" s="18">
        <f>iferror(lookup(if(AK8="",H8,AK8),{0,1,10,25,50,100},{0.0,0.015,0.015,0.01,0.007,0.005}),"")</f>
        <v>0</v>
      </c>
      <c r="AM8" s="18">
        <f>iferror(if(AK8="",H8,AK8)*AL8,"")</f>
        <v>0</v>
      </c>
      <c r="AN8" s="20" t="s">
        <v>264</v>
      </c>
    </row>
    <row r="9" spans="1:50">
      <c r="A9" s="17" t="s">
        <v>24</v>
      </c>
      <c r="B9" s="17" t="s">
        <v>12</v>
      </c>
      <c r="C9" s="17" t="s">
        <v>25</v>
      </c>
      <c r="D9" s="17" t="s">
        <v>27</v>
      </c>
      <c r="E9" s="17" t="s">
        <v>21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3125247</v>
      </c>
      <c r="R9" s="18">
        <f>iferror(lookup(if(Q9="",H9,Q9),{0,1,10,50,100,500,1000,2500,5000,15000,30000,75000,150000,375000},{0.0,0.24,0.165,0.11,0.0935,0.066,0.05775,0.055,0.05088,0.04565,0.044,0.04125,0.03658,0.03438}),"")</f>
        <v>0</v>
      </c>
      <c r="S9" s="18">
        <f>iferror(if(Q9="",H9,Q9)*R9,"")</f>
        <v>0</v>
      </c>
      <c r="T9" s="20" t="s">
        <v>179</v>
      </c>
      <c r="U9" s="19" t="s">
        <v>177</v>
      </c>
      <c r="W9" s="18">
        <f>iferror(USD_GBP*lookup(if(V9="",H9,V9),{0,1,10,100,150,500,2500,7500,15000,75000},{0.0,0.3,0.3,0.178,0.178,0.151,0.081,0.067,0.0651,0.0558}),"")</f>
        <v>0</v>
      </c>
      <c r="X9" s="18">
        <f>iferror(if(V9="",H9,V9)*W9,"")</f>
        <v>0</v>
      </c>
      <c r="Y9" s="20" t="s">
        <v>207</v>
      </c>
      <c r="Z9" s="17">
        <v>11520</v>
      </c>
      <c r="AB9" s="18">
        <f>iferror(lookup(if(AA9="",H9,AA9),{0,1,20,200,600,2000,10000,20000},{0.0,0.0175,0.0175,0.0131,0.0123,0.0115,0.0111,0.0109}),"")</f>
        <v>0</v>
      </c>
      <c r="AC9" s="18">
        <f>iferror(if(AA9="",H9,AA9)*AB9,"")</f>
        <v>0</v>
      </c>
      <c r="AD9" s="20" t="s">
        <v>228</v>
      </c>
      <c r="AE9" s="17">
        <v>2271274</v>
      </c>
      <c r="AG9" s="18">
        <f>iferror(lookup(if(AF9="",H9,AF9),{0,1,10,50,100,1000,10000},{0.0,0.26,0.121,0.121,0.097,0.06,0.051}),"")</f>
        <v>0</v>
      </c>
      <c r="AH9" s="18">
        <f>iferror(if(AF9="",H9,AF9)*AG9,"")</f>
        <v>0</v>
      </c>
      <c r="AI9" s="20" t="s">
        <v>240</v>
      </c>
      <c r="AJ9" s="19" t="s">
        <v>177</v>
      </c>
      <c r="AL9" s="18">
        <f>iferror(lookup(if(AK9="",H9,AK9),{0,1,10,25,50,100,250,15000,30000,60000,90000},{0.0,0.356,0.356,0.326,0.222,0.184,0.154,0.091,0.075,0.065,0.06}),"")</f>
        <v>0</v>
      </c>
      <c r="AM9" s="18">
        <f>iferror(if(AK9="",H9,AK9)*AL9,"")</f>
        <v>0</v>
      </c>
      <c r="AN9" s="20" t="s">
        <v>265</v>
      </c>
    </row>
    <row r="10" spans="1:50">
      <c r="A10" s="17" t="s">
        <v>28</v>
      </c>
      <c r="B10" s="17" t="s">
        <v>29</v>
      </c>
      <c r="C10" s="17" t="s">
        <v>30</v>
      </c>
      <c r="D10" s="17" t="s">
        <v>23</v>
      </c>
      <c r="E10" s="17" t="s">
        <v>14</v>
      </c>
      <c r="F10" s="17" t="s">
        <v>15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5110</v>
      </c>
      <c r="R10" s="18">
        <f>iferror(lookup(if(Q10="",H10,Q10),{0,1,10,50,100,500,1000,2500,5000,10000,20000,30000,50000,100000,250000},{0.0,0.19,0.127,0.076,0.0642,0.04396,0.03889,0.0372,0.03381,0.03135,0.0297,0.02805,0.0264,0.02228,0.02063}),"")</f>
        <v>0</v>
      </c>
      <c r="S10" s="18">
        <f>iferror(if(Q10="",H10,Q10)*R10,"")</f>
        <v>0</v>
      </c>
      <c r="T10" s="20" t="s">
        <v>180</v>
      </c>
      <c r="U10" s="19" t="s">
        <v>177</v>
      </c>
      <c r="W10" s="18">
        <f>iferror(USD_GBP*lookup(if(V10="",H10,V10),{0,1,10,100,150,500,2500,5000,10000,50000},{0.0,0.202,0.202,0.111,0.111,0.069,0.054,0.043,0.0348,0.0298}),"")</f>
        <v>0</v>
      </c>
      <c r="X10" s="18">
        <f>iferror(if(V10="",H10,V10)*W10,"")</f>
        <v>0</v>
      </c>
      <c r="Y10" s="20" t="s">
        <v>208</v>
      </c>
      <c r="Z10" s="17">
        <v>16290</v>
      </c>
      <c r="AB10" s="18">
        <f>iferror(lookup(if(AA10="",H10,AA10),{0,1,10,100,300,1000,5000,10000},{0.0,0.0565,0.0565,0.0414,0.0386,0.0359,0.0346,0.034}),"")</f>
        <v>0</v>
      </c>
      <c r="AC10" s="18">
        <f>iferror(if(AA10="",H10,AA10)*AB10,"")</f>
        <v>0</v>
      </c>
      <c r="AD10" s="20" t="s">
        <v>229</v>
      </c>
      <c r="AE10" s="17">
        <v>47435</v>
      </c>
      <c r="AG10" s="18">
        <f>iferror(lookup(if(AF10="",H10,AF10),{0,1,10,50,100,1000,10000},{0.0,0.22,0.108,0.108,0.083,0.049,0.038}),"")</f>
        <v>0</v>
      </c>
      <c r="AH10" s="18">
        <f>iferror(if(AF10="",H10,AF10)*AG10,"")</f>
        <v>0</v>
      </c>
      <c r="AI10" s="20" t="s">
        <v>241</v>
      </c>
      <c r="AJ10" s="19" t="s">
        <v>177</v>
      </c>
      <c r="AL10" s="18">
        <f>iferror(lookup(if(AK10="",H10,AK10),{0,1,10,25,50,100,250,10000,20000,40000,60000},{0.0,0.25,0.25,0.221,0.135,0.109,0.092,0.054,0.047,0.04,0.033}),"")</f>
        <v>0</v>
      </c>
      <c r="AM10" s="18">
        <f>iferror(if(AK10="",H10,AK10)*AL10,"")</f>
        <v>0</v>
      </c>
      <c r="AN10" s="20" t="s">
        <v>266</v>
      </c>
    </row>
    <row r="11" spans="1:50">
      <c r="A11" s="17" t="s">
        <v>32</v>
      </c>
      <c r="B11" s="17" t="s">
        <v>12</v>
      </c>
      <c r="C11" s="17" t="s">
        <v>33</v>
      </c>
      <c r="D11" s="17" t="s">
        <v>35</v>
      </c>
      <c r="E11" s="17" t="s">
        <v>21</v>
      </c>
      <c r="F11" s="17" t="s">
        <v>15</v>
      </c>
      <c r="G11" s="17" t="s">
        <v>34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1056798</v>
      </c>
      <c r="R11" s="18">
        <f>iferror(lookup(if(Q11="",H11,Q11),{0,1,10,50,100,500,1000,2500,5000,10000,20000,30000,50000,100000,250000},{0.0,0.42,0.294,0.2056,0.1762,0.13216,0.11161,0.10573,0.09986,0.09398,0.09105,0.08811,0.08224,0.07636,0.07049}),"")</f>
        <v>0</v>
      </c>
      <c r="S11" s="18">
        <f>iferror(if(Q11="",H11,Q11)*R11,"")</f>
        <v>0</v>
      </c>
      <c r="T11" s="20" t="s">
        <v>181</v>
      </c>
      <c r="U11" s="17">
        <v>7010</v>
      </c>
      <c r="W11" s="18">
        <f>iferror(USD_GBP*lookup(if(V11="",H11,V11),{0,1,10,100,150,500,2500,5000,10000,50000},{0.0,0.215,0.215,0.173,0.173,0.0986,0.0822,0.0658,0.0548,0.047}),"")</f>
        <v>0</v>
      </c>
      <c r="X11" s="18">
        <f>iferror(if(V11="",H11,V11)*W11,"")</f>
        <v>0</v>
      </c>
      <c r="Y11" s="20" t="s">
        <v>209</v>
      </c>
      <c r="Z11" s="17">
        <v>39495</v>
      </c>
      <c r="AB11" s="18">
        <f>iferror(lookup(if(AA11="",H11,AA11),{0,1,5,50,150,500,2500,5000},{0.0,0.0971,0.0971,0.0724,0.0678,0.0633,0.0613,0.0603}),"")</f>
        <v>0</v>
      </c>
      <c r="AC11" s="18">
        <f>iferror(if(AA11="",H11,AA11)*AB11,"")</f>
        <v>0</v>
      </c>
      <c r="AD11" s="20" t="s">
        <v>230</v>
      </c>
      <c r="AE11" s="17">
        <v>938075</v>
      </c>
      <c r="AG11" s="18">
        <f>iferror(lookup(if(AF11="",H11,AF11),{0,1,10,50,100,1000,10000},{0.0,0.47,0.227,0.227,0.194,0.123,0.11}),"")</f>
        <v>0</v>
      </c>
      <c r="AH11" s="18">
        <f>iferror(if(AF11="",H11,AF11)*AG11,"")</f>
        <v>0</v>
      </c>
      <c r="AI11" s="20" t="s">
        <v>242</v>
      </c>
      <c r="AJ11" s="17">
        <v>7200</v>
      </c>
      <c r="AL11" s="18">
        <f>iferror(lookup(if(AK11="",H11,AK11),{0,1,10,25,50,100,10000,20000,40000,60000},{0.0,0.227,0.227,0.216,0.205,0.194,0.055,0.048,0.041,0.033}),"")</f>
        <v>0</v>
      </c>
      <c r="AM11" s="18">
        <f>iferror(if(AK11="",H11,AK11)*AL11,"")</f>
        <v>0</v>
      </c>
      <c r="AN11" s="20" t="s">
        <v>267</v>
      </c>
    </row>
    <row r="12" spans="1:50">
      <c r="A12" s="17" t="s">
        <v>36</v>
      </c>
      <c r="B12" s="17" t="s">
        <v>37</v>
      </c>
      <c r="C12" s="17" t="s">
        <v>38</v>
      </c>
      <c r="D12" s="17" t="s">
        <v>40</v>
      </c>
      <c r="E12" s="17" t="s">
        <v>21</v>
      </c>
      <c r="F12" s="17" t="s">
        <v>15</v>
      </c>
      <c r="G12" s="17" t="s">
        <v>39</v>
      </c>
      <c r="H12" s="17">
        <f>BoardQty*10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717318</v>
      </c>
      <c r="R12" s="18">
        <f>iferror(lookup(if(Q12="",H12,Q12),{0,1,10,50,100,500,1000,2500,5000,15000,30000,75000,150000,375000},{0.0,0.1,0.036,0.0196,0.016,0.01144,0.00898,0.00817,0.00751,0.00594,0.00564,0.00505,0.00395,0.00371}),"")</f>
        <v>0</v>
      </c>
      <c r="S12" s="18">
        <f>iferror(if(Q12="",H12,Q12)*R12,"")</f>
        <v>0</v>
      </c>
      <c r="T12" s="20" t="s">
        <v>182</v>
      </c>
      <c r="U12" s="17">
        <v>2483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20" t="s">
        <v>210</v>
      </c>
      <c r="Z12" s="17">
        <v>30600</v>
      </c>
      <c r="AB12" s="18">
        <f>iferror(lookup(if(AA12="",H12,AA12),{0,1,50,500,1500,5000,25000,50000},{0.0,0.0066,0.0066,0.0051,0.0048,0.0045,0.0044,0.0043}),"")</f>
        <v>0</v>
      </c>
      <c r="AC12" s="18">
        <f>iferror(if(AA12="",H12,AA12)*AB12,"")</f>
        <v>0</v>
      </c>
      <c r="AD12" s="20" t="s">
        <v>231</v>
      </c>
      <c r="AE12" s="17">
        <v>131500</v>
      </c>
      <c r="AG12" s="18">
        <f>iferror(lookup(if(AF12="",H12,AF12),{0,1,10,50,100,1000,10000},{0.0,0.1,0.034,0.034,0.015,0.008,0.007}),"")</f>
        <v>0</v>
      </c>
      <c r="AH12" s="18">
        <f>iferror(if(AF12="",H12,AF12)*AG12,"")</f>
        <v>0</v>
      </c>
      <c r="AI12" s="20" t="s">
        <v>243</v>
      </c>
      <c r="AJ12" s="19" t="s">
        <v>177</v>
      </c>
      <c r="AL12" s="18">
        <f>iferror(lookup(if(AK12="",H12,AK12),{0,1,10,25,50,100},{0.0,0.034,0.034,0.028,0.021,0.015}),"")</f>
        <v>0</v>
      </c>
      <c r="AM12" s="18">
        <f>iferror(if(AK12="",H12,AK12)*AL12,"")</f>
        <v>0</v>
      </c>
      <c r="AN12" s="20" t="s">
        <v>268</v>
      </c>
      <c r="AO12" s="17">
        <v>8000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20" t="s">
        <v>283</v>
      </c>
    </row>
    <row r="13" spans="1:50">
      <c r="A13" s="17" t="s">
        <v>41</v>
      </c>
      <c r="B13" s="17" t="s">
        <v>42</v>
      </c>
      <c r="C13" s="17" t="s">
        <v>43</v>
      </c>
      <c r="E13" s="17" t="s">
        <v>44</v>
      </c>
      <c r="F13" s="17" t="s">
        <v>45</v>
      </c>
      <c r="G13" s="17" t="s">
        <v>46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47333</v>
      </c>
      <c r="R13" s="18">
        <f>iferror(lookup(if(Q13="",H13,Q13),{0,1,10,100,500,1000,2000,5000,10000,30000,50000},{0.0,0.34,0.236,0.1191,0.09718,0.07211,0.06066,0.058,0.05016,0.04922,0.04125}),"")</f>
        <v>0</v>
      </c>
      <c r="S13" s="18">
        <f>iferror(if(Q13="",H13,Q13)*R13,"")</f>
        <v>0</v>
      </c>
      <c r="T13" s="20" t="s">
        <v>183</v>
      </c>
      <c r="U13" s="17">
        <v>1614</v>
      </c>
      <c r="W13" s="18">
        <f>iferror(USD_GBP*lookup(if(V13="",H13,V13),{0,1,5,10,100,500,1000,5000},{0.0,0.32,0.32,0.209,0.105,0.0798,0.0483,0.0473}),"")</f>
        <v>0</v>
      </c>
      <c r="X13" s="18">
        <f>iferror(if(V13="",H13,V13)*W13,"")</f>
        <v>0</v>
      </c>
      <c r="Y13" s="20" t="s">
        <v>211</v>
      </c>
      <c r="AE13" s="17">
        <v>9887</v>
      </c>
      <c r="AG13" s="18">
        <f>iferror(lookup(if(AF13="",H13,AF13),{0,1,10,50,100,1000,10000},{0.0,0.35,0.231,0.231,0.125,0.076,0.052}),"")</f>
        <v>0</v>
      </c>
      <c r="AH13" s="18">
        <f>iferror(if(AF13="",H13,AF13)*AG13,"")</f>
        <v>0</v>
      </c>
      <c r="AI13" s="20" t="s">
        <v>244</v>
      </c>
      <c r="AJ13" s="17">
        <v>1614</v>
      </c>
      <c r="AL13" s="18">
        <f>iferror(lookup(if(AK13="",H13,AK13),{0,1,5,10,100,500,1000,2500},{0.0,0.358,0.358,0.275,0.153,0.135,0.117,0.102}),"")</f>
        <v>0</v>
      </c>
      <c r="AM13" s="18">
        <f>iferror(if(AK13="",H13,AK13)*AL13,"")</f>
        <v>0</v>
      </c>
      <c r="AN13" s="20" t="s">
        <v>269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48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2726</v>
      </c>
      <c r="R14" s="18">
        <f>iferror(lookup(if(Q14="",H14,Q14),{0,1,10,100,500,1000,2000,4000,8000,12000,28000,100000},{0.0,0.3,0.235,0.1054,0.0952,0.0782,0.068,0.068,0.0612,0.0544,0.051,0.0442}),"")</f>
        <v>0</v>
      </c>
      <c r="S14" s="18">
        <f>iferror(if(Q14="",H14,Q14)*R14,"")</f>
        <v>0</v>
      </c>
      <c r="T14" s="20" t="s">
        <v>184</v>
      </c>
      <c r="U14" s="17">
        <v>715</v>
      </c>
      <c r="W14" s="18">
        <f>iferror(USD_GBP*lookup(if(V14="",H14,V14),{0,1,4000},{0.0,0.0695,0.0695}),"")</f>
        <v>0</v>
      </c>
      <c r="X14" s="18">
        <f>iferror(if(V14="",H14,V14)*W14,"")</f>
        <v>0</v>
      </c>
      <c r="Y14" s="20" t="s">
        <v>212</v>
      </c>
      <c r="AE14" s="17">
        <v>3153</v>
      </c>
      <c r="AG14" s="18">
        <f>iferror(lookup(if(AF14="",H14,AF14),{0,1,10,50,100,1000,10000},{0.0,0.46,0.257,0.257,0.104,0.086,0.054}),"")</f>
        <v>0</v>
      </c>
      <c r="AH14" s="18">
        <f>iferror(if(AF14="",H14,AF14)*AG14,"")</f>
        <v>0</v>
      </c>
      <c r="AI14" s="20" t="s">
        <v>245</v>
      </c>
      <c r="AJ14" s="17">
        <v>715</v>
      </c>
      <c r="AN14" s="20" t="s">
        <v>270</v>
      </c>
      <c r="AT14" s="17">
        <v>3995</v>
      </c>
      <c r="AV14" s="18">
        <f>iferror(lookup(if(AU14="",H14,AU14),{0,1,5,25,100,500,4000},{0.0,0.18,0.18,0.16,0.101,0.0792,0.0594}),"")</f>
        <v>0</v>
      </c>
      <c r="AW14" s="18">
        <f>iferror(if(AU14="",H14,AU14)*AV14,"")</f>
        <v>0</v>
      </c>
      <c r="AX14" s="20" t="s">
        <v>293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50</v>
      </c>
      <c r="F15" s="17" t="s">
        <v>51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39990</v>
      </c>
      <c r="R15" s="18">
        <f>iferror(lookup(if(Q15="",H15,Q15),{0,1,10,100,500,1000,2000,4000,8000,12000,28000,100000},{0.0,0.31,0.242,0.1085,0.098,0.0805,0.07,0.07,0.063,0.056,0.0525,0.0455}),"")</f>
        <v>0</v>
      </c>
      <c r="S15" s="18">
        <f>iferror(if(Q15="",H15,Q15)*R15,"")</f>
        <v>0</v>
      </c>
      <c r="T15" s="20" t="s">
        <v>185</v>
      </c>
      <c r="U15" s="17">
        <v>3377</v>
      </c>
      <c r="W15" s="18">
        <f>iferror(USD_GBP*lookup(if(V15="",H15,V15),{0,1,25,50,100,250,500,1000,2500},{0.0,0.347,0.182,0.156,0.129,0.0882,0.0775,0.0615,0.0597}),"")</f>
        <v>0</v>
      </c>
      <c r="X15" s="18">
        <f>iferror(if(V15="",H15,V15)*W15,"")</f>
        <v>0</v>
      </c>
      <c r="Y15" s="20" t="s">
        <v>213</v>
      </c>
      <c r="AE15" s="17">
        <v>192</v>
      </c>
      <c r="AG15" s="18">
        <f>iferror(lookup(if(AF15="",H15,AF15),{0,1,10,50,100,1000,10000},{0.0,0.47,0.265,0.265,0.107,0.088,0.056}),"")</f>
        <v>0</v>
      </c>
      <c r="AH15" s="18">
        <f>iferror(if(AF15="",H15,AF15)*AG15,"")</f>
        <v>0</v>
      </c>
      <c r="AI15" s="20" t="s">
        <v>246</v>
      </c>
      <c r="AJ15" s="17">
        <v>3377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20" t="s">
        <v>271</v>
      </c>
      <c r="AT15" s="17">
        <v>3425</v>
      </c>
      <c r="AV15" s="18">
        <f>iferror(USD_EUR*lookup(if(AU15="",H15,AU15),{0,1,5,25,100,500,4000},{0.0,0.1469,0.1469,0.1143,0.0824,0.0612,0.0441}),"")</f>
        <v>0</v>
      </c>
      <c r="AW15" s="18">
        <f>iferror(if(AU15="",H15,AU15)*AV15,"")</f>
        <v>0</v>
      </c>
      <c r="AX15" s="20" t="s">
        <v>294</v>
      </c>
    </row>
    <row r="16" spans="1:50">
      <c r="A16" s="17" t="s">
        <v>55</v>
      </c>
      <c r="B16" s="17" t="s">
        <v>56</v>
      </c>
      <c r="C16" s="17" t="s">
        <v>57</v>
      </c>
      <c r="E16" s="17" t="s">
        <v>58</v>
      </c>
      <c r="F16" s="17" t="s">
        <v>59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2433</v>
      </c>
      <c r="R16" s="18">
        <f>iferror(lookup(if(Q16="",H16,Q16),{0,1,10,25,50,100,250,500},{0.0,0.17,0.157,0.134,0.1172,0.1089,0.09632,0.09214}),"")</f>
        <v>0</v>
      </c>
      <c r="S16" s="18">
        <f>iferror(if(Q16="",H16,Q16)*R16,"")</f>
        <v>0</v>
      </c>
      <c r="T16" s="20" t="s">
        <v>186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F17" s="17" t="s">
        <v>59</v>
      </c>
      <c r="G17" s="17" t="s">
        <v>65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1683</v>
      </c>
      <c r="R17" s="18">
        <f>iferror(lookup(if(Q17="",H17,Q17),{0,1,10,25,50,100,250,500},{0.0,0.29,0.271,0.2324,0.1974,0.1896,0.17028,0.16254}),"")</f>
        <v>0</v>
      </c>
      <c r="S17" s="18">
        <f>iferror(if(Q17="",H17,Q17)*R17,"")</f>
        <v>0</v>
      </c>
      <c r="T17" s="20" t="s">
        <v>187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67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Z18" s="17">
        <v>31125</v>
      </c>
      <c r="AB18" s="18">
        <f>iferror(lookup(if(AA18="",H18,AA18),{0,1,10,30,100,500,1000},{0.0,0.385,0.2836,0.2647,0.2458,0.2372,0.2338}),"")</f>
        <v>0</v>
      </c>
      <c r="AC18" s="18">
        <f>iferror(if(AA18="",H18,AA18)*AB18,"")</f>
        <v>0</v>
      </c>
      <c r="AD18" s="20" t="s">
        <v>232</v>
      </c>
    </row>
    <row r="19" spans="1:50">
      <c r="A19" s="17" t="s">
        <v>71</v>
      </c>
      <c r="B19" s="17" t="s">
        <v>72</v>
      </c>
      <c r="C19" s="17" t="s">
        <v>73</v>
      </c>
      <c r="E19" s="17" t="s">
        <v>74</v>
      </c>
      <c r="F19" s="17" t="s">
        <v>45</v>
      </c>
      <c r="G19" s="17" t="s">
        <v>75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177</v>
      </c>
      <c r="R19" s="18">
        <f>iferror(lookup(if(Q19="",H19,Q19),{0,1,10000},{0.0,0.0302,0.0302}),"")</f>
        <v>0</v>
      </c>
      <c r="S19" s="18">
        <f>iferror(if(Q19="",H19,Q19)*R19,"")</f>
        <v>0</v>
      </c>
      <c r="T19" s="20" t="s">
        <v>188</v>
      </c>
      <c r="AE19" s="17">
        <v>10000</v>
      </c>
      <c r="AG19" s="18">
        <f>iferror(lookup(if(AF19="",H19,AF19),{0,1,10,50,100,1000,10000},{0.0,0.35,0.243,0.243,0.102,0.069,0.046}),"")</f>
        <v>0</v>
      </c>
      <c r="AH19" s="18">
        <f>iferror(if(AF19="",H19,AF19)*AG19,"")</f>
        <v>0</v>
      </c>
      <c r="AI19" s="20" t="s">
        <v>247</v>
      </c>
    </row>
    <row r="20" spans="1:50">
      <c r="A20" s="17" t="s">
        <v>76</v>
      </c>
      <c r="B20" s="17" t="s">
        <v>77</v>
      </c>
      <c r="C20" s="17" t="s">
        <v>78</v>
      </c>
      <c r="E20" s="17" t="s">
        <v>79</v>
      </c>
      <c r="F20" s="17" t="s">
        <v>80</v>
      </c>
      <c r="G20" s="17" t="s">
        <v>81</v>
      </c>
      <c r="H20" s="17">
        <f>BoardQty*3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68757</v>
      </c>
      <c r="R20" s="18">
        <f>iferror(lookup(if(Q20="",H20,Q20),{0,1,10,100,1000,2500,5000,15000,30000,75000},{0.0,0.1,0.025,0.01,0.00451,0.00391,0.00323,0.00281,0.00247,0.00231}),"")</f>
        <v>0</v>
      </c>
      <c r="S20" s="18">
        <f>iferror(if(Q20="",H20,Q20)*R20,"")</f>
        <v>0</v>
      </c>
      <c r="T20" s="20" t="s">
        <v>189</v>
      </c>
      <c r="U20" s="19" t="s">
        <v>177</v>
      </c>
      <c r="W20" s="18">
        <f>iferror(USD_GBP*lookup(if(V20="",H20,V20),{0,1,15000},{0.0,0.005,0.005}),"")</f>
        <v>0</v>
      </c>
      <c r="X20" s="18">
        <f>iferror(if(V20="",H20,V20)*W20,"")</f>
        <v>0</v>
      </c>
      <c r="Y20" s="20" t="s">
        <v>214</v>
      </c>
      <c r="AE20" s="17">
        <v>48984</v>
      </c>
      <c r="AG20" s="18">
        <f>iferror(lookup(if(AF20="",H20,AF20),{0,1,10,50,100,1000,10000},{0.0,0.1,0.025,0.025,0.008,0.005,0.003}),"")</f>
        <v>0</v>
      </c>
      <c r="AH20" s="18">
        <f>iferror(if(AF20="",H20,AF20)*AG20,"")</f>
        <v>0</v>
      </c>
      <c r="AI20" s="20" t="s">
        <v>248</v>
      </c>
      <c r="AJ20" s="19" t="s">
        <v>177</v>
      </c>
      <c r="AN20" s="20" t="s">
        <v>272</v>
      </c>
      <c r="AO20" s="17">
        <v>41000</v>
      </c>
      <c r="AQ20" s="18">
        <f>iferror(USD_GBP*lookup(if(AP20="",H20,AP20),{0,1,15000},{0.0,0.004,0.004}),"")</f>
        <v>0</v>
      </c>
      <c r="AR20" s="18">
        <f>iferror(if(AP20="",H20,AP20)*AQ20,"")</f>
        <v>0</v>
      </c>
      <c r="AS20" s="20" t="s">
        <v>284</v>
      </c>
    </row>
    <row r="21" spans="1:50">
      <c r="A21" s="17" t="s">
        <v>82</v>
      </c>
      <c r="B21" s="17" t="s">
        <v>83</v>
      </c>
      <c r="C21" s="17" t="s">
        <v>84</v>
      </c>
      <c r="E21" s="17" t="s">
        <v>79</v>
      </c>
      <c r="F21" s="17" t="s">
        <v>80</v>
      </c>
      <c r="G21" s="17" t="s">
        <v>85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250109</v>
      </c>
      <c r="R21" s="18">
        <f>iferror(lookup(if(Q21="",H21,Q21),{0,1,10,100,1000,2500,5000,15000,30000,75000},{0.0,0.1,0.025,0.01,0.00451,0.00391,0.00323,0.00281,0.00247,0.00231}),"")</f>
        <v>0</v>
      </c>
      <c r="S21" s="18">
        <f>iferror(if(Q21="",H21,Q21)*R21,"")</f>
        <v>0</v>
      </c>
      <c r="T21" s="20" t="s">
        <v>190</v>
      </c>
      <c r="U21" s="19" t="s">
        <v>177</v>
      </c>
      <c r="W21" s="18">
        <f>iferror(USD_GBP*lookup(if(V21="",H21,V21),{0,1,15000},{0.0,0.0043,0.0043}),"")</f>
        <v>0</v>
      </c>
      <c r="X21" s="18">
        <f>iferror(if(V21="",H21,V21)*W21,"")</f>
        <v>0</v>
      </c>
      <c r="Y21" s="20" t="s">
        <v>215</v>
      </c>
      <c r="AE21" s="17">
        <v>34721</v>
      </c>
      <c r="AG21" s="18">
        <f>iferror(lookup(if(AF21="",H21,AF21),{0,1,10,50,100,1000,10000},{0.0,0.1,0.026,0.026,0.011,0.005,0.003}),"")</f>
        <v>0</v>
      </c>
      <c r="AH21" s="18">
        <f>iferror(if(AF21="",H21,AF21)*AG21,"")</f>
        <v>0</v>
      </c>
      <c r="AI21" s="20" t="s">
        <v>249</v>
      </c>
      <c r="AJ21" s="19" t="s">
        <v>177</v>
      </c>
      <c r="AN21" s="20" t="s">
        <v>273</v>
      </c>
      <c r="AO21" s="17">
        <v>8000</v>
      </c>
      <c r="AQ21" s="18">
        <f>iferror(USD_GBP*lookup(if(AP21="",H21,AP21),{0,1,15000},{0.0,0.006,0.006}),"")</f>
        <v>0</v>
      </c>
      <c r="AR21" s="18">
        <f>iferror(if(AP21="",H21,AP21)*AQ21,"")</f>
        <v>0</v>
      </c>
      <c r="AS21" s="20" t="s">
        <v>285</v>
      </c>
    </row>
    <row r="22" spans="1:50">
      <c r="A22" s="17" t="s">
        <v>86</v>
      </c>
      <c r="B22" s="17" t="s">
        <v>87</v>
      </c>
      <c r="C22" s="17" t="s">
        <v>88</v>
      </c>
      <c r="E22" s="17" t="s">
        <v>79</v>
      </c>
      <c r="F22" s="17" t="s">
        <v>80</v>
      </c>
      <c r="G22" s="17" t="s">
        <v>89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34901</v>
      </c>
      <c r="R22" s="18">
        <f>iferror(lookup(if(Q22="",H22,Q22),{0,1,10,100,1000,2500,5000,15000,30000,75000},{0.0,0.1,0.025,0.01,0.00451,0.00391,0.00323,0.00281,0.00247,0.00231}),"")</f>
        <v>0</v>
      </c>
      <c r="S22" s="18">
        <f>iferror(if(Q22="",H22,Q22)*R22,"")</f>
        <v>0</v>
      </c>
      <c r="T22" s="20" t="s">
        <v>191</v>
      </c>
      <c r="U22" s="19" t="s">
        <v>177</v>
      </c>
      <c r="W22" s="18">
        <f>iferror(USD_GBP*lookup(if(V22="",H22,V22),{0,1,15000},{0.0,0.0059,0.0059}),"")</f>
        <v>0</v>
      </c>
      <c r="X22" s="18">
        <f>iferror(if(V22="",H22,V22)*W22,"")</f>
        <v>0</v>
      </c>
      <c r="Y22" s="20" t="s">
        <v>216</v>
      </c>
      <c r="AE22" s="17">
        <v>52365</v>
      </c>
      <c r="AG22" s="18">
        <f>iferror(lookup(if(AF22="",H22,AF22),{0,1,10,50,100,1000,10000},{0.0,0.1,0.027,0.027,0.011,0.005,0.003}),"")</f>
        <v>0</v>
      </c>
      <c r="AH22" s="18">
        <f>iferror(if(AF22="",H22,AF22)*AG22,"")</f>
        <v>0</v>
      </c>
      <c r="AI22" s="20" t="s">
        <v>250</v>
      </c>
      <c r="AO22" s="17">
        <v>28000</v>
      </c>
      <c r="AQ22" s="18">
        <f>iferror(USD_GBP*lookup(if(AP22="",H22,AP22),{0,1,15000},{0.0,0.004,0.004}),"")</f>
        <v>0</v>
      </c>
      <c r="AR22" s="18">
        <f>iferror(if(AP22="",H22,AP22)*AQ22,"")</f>
        <v>0</v>
      </c>
      <c r="AS22" s="20" t="s">
        <v>286</v>
      </c>
    </row>
    <row r="23" spans="1:50">
      <c r="A23" s="17" t="s">
        <v>90</v>
      </c>
      <c r="B23" s="17" t="s">
        <v>91</v>
      </c>
      <c r="C23" s="17" t="s">
        <v>92</v>
      </c>
      <c r="E23" s="17" t="s">
        <v>79</v>
      </c>
      <c r="F23" s="17" t="s">
        <v>80</v>
      </c>
      <c r="G23" s="17" t="s">
        <v>93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30061</v>
      </c>
      <c r="R23" s="18">
        <f>iferror(lookup(if(Q23="",H23,Q23),{0,1,10,100,1000,2500,5000,15000,30000,75000},{0.0,0.1,0.025,0.01,0.00451,0.00391,0.00323,0.00281,0.00247,0.00231}),"")</f>
        <v>0</v>
      </c>
      <c r="S23" s="18">
        <f>iferror(if(Q23="",H23,Q23)*R23,"")</f>
        <v>0</v>
      </c>
      <c r="T23" s="20" t="s">
        <v>192</v>
      </c>
      <c r="U23" s="19" t="s">
        <v>177</v>
      </c>
      <c r="W23" s="18">
        <f>iferror(USD_GBP*lookup(if(V23="",H23,V23),{0,1,15000},{0.0,0.0043,0.0043}),"")</f>
        <v>0</v>
      </c>
      <c r="X23" s="18">
        <f>iferror(if(V23="",H23,V23)*W23,"")</f>
        <v>0</v>
      </c>
      <c r="Y23" s="20" t="s">
        <v>217</v>
      </c>
      <c r="AE23" s="17">
        <v>81930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20" t="s">
        <v>251</v>
      </c>
      <c r="AJ23" s="19" t="s">
        <v>177</v>
      </c>
      <c r="AN23" s="20" t="s">
        <v>274</v>
      </c>
    </row>
    <row r="24" spans="1:50">
      <c r="A24" s="17" t="s">
        <v>94</v>
      </c>
      <c r="B24" s="17" t="s">
        <v>95</v>
      </c>
      <c r="C24" s="17" t="s">
        <v>96</v>
      </c>
      <c r="E24" s="17" t="s">
        <v>79</v>
      </c>
      <c r="F24" s="17" t="s">
        <v>80</v>
      </c>
      <c r="G24" s="17" t="s">
        <v>97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278918</v>
      </c>
      <c r="R24" s="18">
        <f>iferror(lookup(if(Q24="",H24,Q24),{0,1,10,100,1000,2500,5000,15000,30000,75000},{0.0,0.1,0.025,0.01,0.00451,0.00391,0.00323,0.00281,0.00247,0.00231}),"")</f>
        <v>0</v>
      </c>
      <c r="S24" s="18">
        <f>iferror(if(Q24="",H24,Q24)*R24,"")</f>
        <v>0</v>
      </c>
      <c r="T24" s="20" t="s">
        <v>193</v>
      </c>
      <c r="U24" s="19" t="s">
        <v>177</v>
      </c>
      <c r="W24" s="18">
        <f>iferror(USD_GBP*lookup(if(V24="",H24,V24),{0,1,15000},{0.0,0.0043,0.0043}),"")</f>
        <v>0</v>
      </c>
      <c r="X24" s="18">
        <f>iferror(if(V24="",H24,V24)*W24,"")</f>
        <v>0</v>
      </c>
      <c r="Y24" s="20" t="s">
        <v>218</v>
      </c>
      <c r="Z24" s="17">
        <v>14800</v>
      </c>
      <c r="AB24" s="18">
        <f>iferror(lookup(if(AA24="",H24,AA24),{0,1,50,500,1500,5000,25000,50000},{0.0,0.006,0.006,0.0045,0.0043,0.004,0.0039,0.0038}),"")</f>
        <v>0</v>
      </c>
      <c r="AC24" s="18">
        <f>iferror(if(AA24="",H24,AA24)*AB24,"")</f>
        <v>0</v>
      </c>
      <c r="AD24" s="20" t="s">
        <v>233</v>
      </c>
      <c r="AE24" s="17">
        <v>50792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20" t="s">
        <v>252</v>
      </c>
      <c r="AJ24" s="19" t="s">
        <v>177</v>
      </c>
      <c r="AN24" s="20" t="s">
        <v>275</v>
      </c>
      <c r="AO24" s="17">
        <v>54000</v>
      </c>
      <c r="AQ24" s="18">
        <f>iferror(USD_GBP*lookup(if(AP24="",H24,AP24),{0,1,15000},{0.0,0.004,0.004}),"")</f>
        <v>0</v>
      </c>
      <c r="AR24" s="18">
        <f>iferror(if(AP24="",H24,AP24)*AQ24,"")</f>
        <v>0</v>
      </c>
      <c r="AS24" s="20" t="s">
        <v>287</v>
      </c>
    </row>
    <row r="25" spans="1:50">
      <c r="A25" s="17" t="s">
        <v>98</v>
      </c>
      <c r="B25" s="17" t="s">
        <v>99</v>
      </c>
      <c r="C25" s="17" t="s">
        <v>100</v>
      </c>
      <c r="E25" s="17" t="s">
        <v>79</v>
      </c>
      <c r="F25" s="17" t="s">
        <v>80</v>
      </c>
      <c r="G25" s="17" t="s">
        <v>101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321850</v>
      </c>
      <c r="R25" s="18">
        <f>iferror(lookup(if(Q25="",H25,Q25),{0,1,10,100,1000,2500,5000,15000,30000,75000},{0.0,0.1,0.025,0.01,0.00451,0.00391,0.00323,0.00281,0.00247,0.00231}),"")</f>
        <v>0</v>
      </c>
      <c r="S25" s="18">
        <f>iferror(if(Q25="",H25,Q25)*R25,"")</f>
        <v>0</v>
      </c>
      <c r="T25" s="20" t="s">
        <v>194</v>
      </c>
      <c r="U25" s="19" t="s">
        <v>177</v>
      </c>
      <c r="W25" s="18">
        <f>iferror(USD_GBP*lookup(if(V25="",H25,V25),{0,1,15000},{0.0,0.0043,0.0043}),"")</f>
        <v>0</v>
      </c>
      <c r="X25" s="18">
        <f>iferror(if(V25="",H25,V25)*W25,"")</f>
        <v>0</v>
      </c>
      <c r="Y25" s="20" t="s">
        <v>219</v>
      </c>
      <c r="Z25" s="17">
        <v>4250</v>
      </c>
      <c r="AB25" s="18">
        <f>iferror(lookup(if(AA25="",H25,AA25),{0,1,50,500,1500,5000,25000,50000},{0.0,0.0182,0.0182,0.0139,0.0131,0.0123,0.012,0.0118}),"")</f>
        <v>0</v>
      </c>
      <c r="AC25" s="18">
        <f>iferror(if(AA25="",H25,AA25)*AB25,"")</f>
        <v>0</v>
      </c>
      <c r="AD25" s="20" t="s">
        <v>234</v>
      </c>
      <c r="AE25" s="17">
        <v>212846</v>
      </c>
      <c r="AG25" s="18">
        <f>iferror(lookup(if(AF25="",H25,AF25),{0,1,10,50,100,1000,10000},{0.0,0.1,0.026,0.026,0.011,0.005,0.003}),"")</f>
        <v>0</v>
      </c>
      <c r="AH25" s="18">
        <f>iferror(if(AF25="",H25,AF25)*AG25,"")</f>
        <v>0</v>
      </c>
      <c r="AI25" s="20" t="s">
        <v>253</v>
      </c>
      <c r="AJ25" s="19" t="s">
        <v>177</v>
      </c>
      <c r="AN25" s="20" t="s">
        <v>276</v>
      </c>
      <c r="AO25" s="17">
        <v>40000</v>
      </c>
      <c r="AQ25" s="18">
        <f>iferror(USD_GBP*lookup(if(AP25="",H25,AP25),{0,1,15000},{0.0,0.006,0.006}),"")</f>
        <v>0</v>
      </c>
      <c r="AR25" s="18">
        <f>iferror(if(AP25="",H25,AP25)*AQ25,"")</f>
        <v>0</v>
      </c>
      <c r="AS25" s="20" t="s">
        <v>288</v>
      </c>
    </row>
    <row r="26" spans="1:50">
      <c r="A26" s="17" t="s">
        <v>102</v>
      </c>
      <c r="B26" s="17" t="s">
        <v>103</v>
      </c>
      <c r="C26" s="17" t="s">
        <v>104</v>
      </c>
      <c r="E26" s="17" t="s">
        <v>105</v>
      </c>
      <c r="F26" s="17" t="s">
        <v>106</v>
      </c>
      <c r="G26" s="17" t="s">
        <v>103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17066</v>
      </c>
      <c r="R26" s="18">
        <f>iferror(lookup(if(Q26="",H26,Q26),{0,1,10,25,100,250,500,1000,2500,8500,17000},{0.0,0.22,0.211,0.2,0.1819,0.171,0.15644,0.13097,0.12733,0.12005,0.11278}),"")</f>
        <v>0</v>
      </c>
      <c r="S26" s="18">
        <f>iferror(if(Q26="",H26,Q26)*R26,"")</f>
        <v>0</v>
      </c>
      <c r="T26" s="20" t="s">
        <v>195</v>
      </c>
      <c r="U26" s="17">
        <v>812</v>
      </c>
      <c r="W26" s="18">
        <f>iferror(USD_GBP*lookup(if(V26="",H26,V26),{0,1,10,500,1000,5000,10000},{0.0,0.137,0.137,0.126,0.118,0.111,0.103}),"")</f>
        <v>0</v>
      </c>
      <c r="X26" s="18">
        <f>iferror(if(V26="",H26,V26)*W26,"")</f>
        <v>0</v>
      </c>
      <c r="Y26" s="20" t="s">
        <v>220</v>
      </c>
      <c r="Z26" s="17">
        <v>21147</v>
      </c>
      <c r="AB26" s="18">
        <f>iferror(lookup(if(AA26="",H26,AA26),{0,1,10,30,100,500,1000},{0.0,0.2043,0.1522,0.1426,0.133,0.1288,0.1267}),"")</f>
        <v>0</v>
      </c>
      <c r="AC26" s="18">
        <f>iferror(if(AA26="",H26,AA26)*AB26,"")</f>
        <v>0</v>
      </c>
      <c r="AD26" s="20" t="s">
        <v>235</v>
      </c>
      <c r="AE26" s="17">
        <v>914</v>
      </c>
      <c r="AG26" s="18">
        <f>iferror(lookup(if(AF26="",H26,AF26),{0,1,10,50,100,1000,10000},{0.0,0.22,0.211,0.194,0.155,0.103,0.103}),"")</f>
        <v>0</v>
      </c>
      <c r="AH26" s="18">
        <f>iferror(if(AF26="",H26,AF26)*AG26,"")</f>
        <v>0</v>
      </c>
      <c r="AI26" s="20" t="s">
        <v>254</v>
      </c>
      <c r="AJ26" s="17">
        <v>7274</v>
      </c>
      <c r="AL26" s="18">
        <f>iferror(lookup(if(AK26="",H26,AK26),{0,1,8500,100000},{0.0,0.148,0.162,0.136}),"")</f>
        <v>0</v>
      </c>
      <c r="AM26" s="18">
        <f>iferror(if(AK26="",H26,AK26)*AL26,"")</f>
        <v>0</v>
      </c>
      <c r="AN26" s="20" t="s">
        <v>277</v>
      </c>
      <c r="AT26" s="17">
        <v>2944</v>
      </c>
      <c r="AV26" s="18">
        <f>iferror(lookup(if(AU26="",H26,AU26),{0,1,5,100,1000,3000,8500},{0.0,0.2326,0.2326,0.1958,0.1346,0.12,0.1175}),"")</f>
        <v>0</v>
      </c>
      <c r="AW26" s="18">
        <f>iferror(if(AU26="",H26,AU26)*AV26,"")</f>
        <v>0</v>
      </c>
      <c r="AX26" s="20" t="s">
        <v>295</v>
      </c>
    </row>
    <row r="27" spans="1:50">
      <c r="A27" s="17" t="s">
        <v>107</v>
      </c>
      <c r="B27" s="17" t="s">
        <v>108</v>
      </c>
      <c r="C27" s="17" t="s">
        <v>109</v>
      </c>
      <c r="E27" s="17" t="s">
        <v>110</v>
      </c>
      <c r="F27" s="17" t="s">
        <v>111</v>
      </c>
      <c r="G27" s="17" t="s">
        <v>112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4825</v>
      </c>
      <c r="R27" s="18">
        <f>iferror(lookup(if(Q27="",H27,Q27),{0,1,10,25,100,250,500,1000,2500,5000,10000},{0.0,0.38,0.31,0.284,0.1914,0.1584,0.1452,0.1089,0.1023,0.0957,0.0891}),"")</f>
        <v>0</v>
      </c>
      <c r="S27" s="18">
        <f>iferror(if(Q27="",H27,Q27)*R27,"")</f>
        <v>0</v>
      </c>
      <c r="T27" s="20" t="s">
        <v>196</v>
      </c>
      <c r="U27" s="17">
        <v>4930</v>
      </c>
      <c r="W27" s="18">
        <f>iferror(USD_GBP*lookup(if(V27="",H27,V27),{0,1,5,10,100,500,1000,5000,10000},{0.0,0.283,0.283,0.207,0.0978,0.0817,0.0655,0.0652,0.0648}),"")</f>
        <v>0</v>
      </c>
      <c r="X27" s="18">
        <f>iferror(if(V27="",H27,V27)*W27,"")</f>
        <v>0</v>
      </c>
      <c r="Y27" s="20" t="s">
        <v>221</v>
      </c>
      <c r="AE27" s="17">
        <v>4715</v>
      </c>
      <c r="AG27" s="18">
        <f>iferror(lookup(if(AF27="",H27,AF27),{0,1,10,50,100,1000,10000},{0.0,0.38,0.283,0.283,0.145,0.102,0.087}),"")</f>
        <v>0</v>
      </c>
      <c r="AH27" s="18">
        <f>iferror(if(AF27="",H27,AF27)*AG27,"")</f>
        <v>0</v>
      </c>
      <c r="AI27" s="20" t="s">
        <v>255</v>
      </c>
      <c r="AJ27" s="17">
        <v>5000</v>
      </c>
      <c r="AL27" s="18">
        <f>iferror(lookup(if(AK27="",H27,AK27),{0,1,5,10,25,50,100,250,500,1000},{0.0,0.46,0.46,0.353,0.294,0.247,0.207,0.176,0.144,0.122}),"")</f>
        <v>0</v>
      </c>
      <c r="AM27" s="18">
        <f>iferror(if(AK27="",H27,AK27)*AL27,"")</f>
        <v>0</v>
      </c>
      <c r="AN27" s="20" t="s">
        <v>278</v>
      </c>
      <c r="AO27" s="17">
        <v>5000</v>
      </c>
      <c r="AQ27" s="18">
        <f>iferror(USD_GBP*lookup(if(AP27="",H27,AP27),{0,1,5000},{0.0,0.07,0.07}),"")</f>
        <v>0</v>
      </c>
      <c r="AR27" s="18">
        <f>iferror(if(AP27="",H27,AP27)*AQ27,"")</f>
        <v>0</v>
      </c>
      <c r="AS27" s="20" t="s">
        <v>289</v>
      </c>
    </row>
    <row r="28" spans="1:50">
      <c r="A28" s="17" t="s">
        <v>113</v>
      </c>
      <c r="B28" s="17" t="s">
        <v>114</v>
      </c>
      <c r="C28" s="17" t="s">
        <v>115</v>
      </c>
      <c r="E28" s="17" t="s">
        <v>110</v>
      </c>
      <c r="F28" s="17" t="s">
        <v>111</v>
      </c>
      <c r="G28" s="17" t="s">
        <v>116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2083</v>
      </c>
      <c r="R28" s="18">
        <f>iferror(lookup(if(Q28="",H28,Q28),{0,1,10,25,100,250,500,1000,2500,5000,10000},{0.0,0.44,0.353,0.3224,0.2175,0.18,0.165,0.12375,0.11625,0.10875,0.10125}),"")</f>
        <v>0</v>
      </c>
      <c r="S28" s="18">
        <f>iferror(if(Q28="",H28,Q28)*R28,"")</f>
        <v>0</v>
      </c>
      <c r="T28" s="20" t="s">
        <v>197</v>
      </c>
      <c r="U28" s="17">
        <v>4650</v>
      </c>
      <c r="W28" s="18">
        <f>iferror(USD_GBP*lookup(if(V28="",H28,V28),{0,1,5,10,100,500,1000,5000,10000},{0.0,0.327,0.327,0.235,0.109,0.101,0.0934,0.0856,0.0778}),"")</f>
        <v>0</v>
      </c>
      <c r="X28" s="18">
        <f>iferror(if(V28="",H28,V28)*W28,"")</f>
        <v>0</v>
      </c>
      <c r="Y28" s="20" t="s">
        <v>222</v>
      </c>
      <c r="AE28" s="17">
        <v>8102</v>
      </c>
      <c r="AG28" s="18">
        <f>iferror(lookup(if(AF28="",H28,AF28),{0,1,10,50,100,1000,10000},{0.0,0.44,0.322,0.322,0.164,0.116,0.099}),"")</f>
        <v>0</v>
      </c>
      <c r="AH28" s="18">
        <f>iferror(if(AF28="",H28,AF28)*AG28,"")</f>
        <v>0</v>
      </c>
      <c r="AI28" s="20" t="s">
        <v>256</v>
      </c>
      <c r="AJ28" s="17">
        <v>4650</v>
      </c>
      <c r="AL28" s="18">
        <f>iferror(lookup(if(AK28="",H28,AK28),{0,1,5,10,25,50,100,250,500,1000,5000,6000,12000,15000,18000,30000,40000,75000},{0.0,0.511,0.511,0.392,0.327,0.274,0.23,0.196,0.16,0.136,0.166,0.147,0.133,0.101,0.124,0.114,0.089,0.086}),"")</f>
        <v>0</v>
      </c>
      <c r="AM28" s="18">
        <f>iferror(if(AK28="",H28,AK28)*AL28,"")</f>
        <v>0</v>
      </c>
      <c r="AN28" s="20" t="s">
        <v>279</v>
      </c>
      <c r="AO28" s="17">
        <v>4940</v>
      </c>
      <c r="AQ28" s="18">
        <f>iferror(USD_GBP*lookup(if(AP28="",H28,AP28),{0,1,5000},{0.0,0.08,0.08}),"")</f>
        <v>0</v>
      </c>
      <c r="AR28" s="18">
        <f>iferror(if(AP28="",H28,AP28)*AQ28,"")</f>
        <v>0</v>
      </c>
      <c r="AS28" s="20" t="s">
        <v>290</v>
      </c>
    </row>
    <row r="29" spans="1:50">
      <c r="A29" s="17" t="s">
        <v>117</v>
      </c>
      <c r="B29" s="17" t="s">
        <v>118</v>
      </c>
      <c r="C29" s="17" t="s">
        <v>119</v>
      </c>
      <c r="E29" s="17" t="s">
        <v>120</v>
      </c>
      <c r="F29" s="17" t="s">
        <v>121</v>
      </c>
      <c r="G29" s="17" t="s">
        <v>118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9" t="s">
        <v>177</v>
      </c>
      <c r="R29" s="18">
        <f>iferror(lookup(if(Q29="",H29,Q29),{0,1,2000},{0.0,1.08,1.08}),"")</f>
        <v>0</v>
      </c>
      <c r="S29" s="18">
        <f>iferror(if(Q29="",H29,Q29)*R29,"")</f>
        <v>0</v>
      </c>
      <c r="T29" s="20" t="s">
        <v>198</v>
      </c>
      <c r="AE29" s="17">
        <v>908</v>
      </c>
      <c r="AG29" s="18">
        <f>iferror(lookup(if(AF29="",H29,AF29),{0,1,10,50,100,1000,10000},{0.0,2.36,2.0,2.0,1.71,1.16,1.03}),"")</f>
        <v>0</v>
      </c>
      <c r="AH29" s="18">
        <f>iferror(if(AF29="",H29,AF29)*AG29,"")</f>
        <v>0</v>
      </c>
      <c r="AI29" s="20" t="s">
        <v>257</v>
      </c>
    </row>
    <row r="30" spans="1:50">
      <c r="A30" s="17" t="s">
        <v>122</v>
      </c>
      <c r="B30" s="17" t="s">
        <v>123</v>
      </c>
      <c r="C30" s="17" t="s">
        <v>124</v>
      </c>
      <c r="E30" s="17" t="s">
        <v>125</v>
      </c>
      <c r="F30" s="17" t="s">
        <v>126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9" t="s">
        <v>177</v>
      </c>
      <c r="R30" s="18">
        <f>iferror(lookup(if(Q30="",H30,Q30),{0,1,10,25,100,250,500,1000,5000},{0.0,3.21,2.885,2.7272,2.2422,2.01192,1.9392,1.6968,1.6968}),"")</f>
        <v>0</v>
      </c>
      <c r="S30" s="18">
        <f>iferror(if(Q30="",H30,Q30)*R30,"")</f>
        <v>0</v>
      </c>
      <c r="T30" s="20" t="s">
        <v>199</v>
      </c>
      <c r="U30" s="19" t="s">
        <v>177</v>
      </c>
      <c r="W30" s="18">
        <f>iferror(USD_GBP*lookup(if(V30="",H30,V30),{0,1,10,25,50,100,250,500,1000},{0.0,2.76,2.07,1.95,1.83,1.71,1.53,1.47,1.22}),"")</f>
        <v>0</v>
      </c>
      <c r="X30" s="18">
        <f>iferror(if(V30="",H30,V30)*W30,"")</f>
        <v>0</v>
      </c>
      <c r="Y30" s="20" t="s">
        <v>223</v>
      </c>
      <c r="AE30" s="19" t="s">
        <v>177</v>
      </c>
      <c r="AG30" s="18">
        <f>iferror(lookup(if(AF30="",H30,AF30),{0,1,10,50,100,1000,10000},{0.0,3.21,2.72,2.72,2.24,1.61,1.51}),"")</f>
        <v>0</v>
      </c>
      <c r="AH30" s="18">
        <f>iferror(if(AF30="",H30,AF30)*AG30,"")</f>
        <v>0</v>
      </c>
      <c r="AI30" s="20" t="s">
        <v>258</v>
      </c>
      <c r="AJ30" s="17">
        <v>4</v>
      </c>
      <c r="AL30" s="18">
        <f>iferror(lookup(if(AK30="",H30,AK30),{0,1,10,25,50,100,250,5000,10000},{0.0,3.53,3.18,3.0,2.73,2.46,2.21,1.48,1.45}),"")</f>
        <v>0</v>
      </c>
      <c r="AM30" s="18">
        <f>iferror(if(AK30="",H30,AK30)*AL30,"")</f>
        <v>0</v>
      </c>
      <c r="AN30" s="20" t="s">
        <v>280</v>
      </c>
    </row>
    <row r="31" spans="1:50">
      <c r="A31" s="17" t="s">
        <v>128</v>
      </c>
      <c r="B31" s="17" t="s">
        <v>129</v>
      </c>
      <c r="C31" s="17" t="s">
        <v>130</v>
      </c>
      <c r="E31" s="17" t="s">
        <v>131</v>
      </c>
      <c r="F31" s="17" t="s">
        <v>111</v>
      </c>
      <c r="G31" s="17" t="s">
        <v>132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5997</v>
      </c>
      <c r="R31" s="18">
        <f>iferror(lookup(if(Q31="",H31,Q31),{0,1,10,25,50,100,250,500,1000,4000,8000,12000,28000},{0.0,0.22,0.208,0.1984,0.192,0.1856,0.176,0.1472,0.11424,0.1428,0.1344,0.126,0.1176}),"")</f>
        <v>0</v>
      </c>
      <c r="S31" s="18">
        <f>iferror(if(Q31="",H31,Q31)*R31,"")</f>
        <v>0</v>
      </c>
      <c r="T31" s="20" t="s">
        <v>200</v>
      </c>
      <c r="U31" s="17">
        <v>194</v>
      </c>
      <c r="W31" s="18">
        <f>iferror(USD_GBP*lookup(if(V31="",H31,V31),{0,1,5,10,100,150,4000,12000,32000,60000},{0.0,0.226,0.226,0.19,0.0989,0.0989,0.0927,0.0896,0.0876,0.0857}),"")</f>
        <v>0</v>
      </c>
      <c r="X31" s="18">
        <f>iferror(if(V31="",H31,V31)*W31,"")</f>
        <v>0</v>
      </c>
      <c r="Y31" s="20" t="s">
        <v>224</v>
      </c>
      <c r="Z31" s="17">
        <v>6144</v>
      </c>
      <c r="AB31" s="18">
        <f>iferror(lookup(if(AA31="",H31,AA31),{0,1,10,30,100,500,1000},{0.0,0.1729,0.1273,0.1189,0.1106,0.1068,0.105}),"")</f>
        <v>0</v>
      </c>
      <c r="AC31" s="18">
        <f>iferror(if(AA31="",H31,AA31)*AB31,"")</f>
        <v>0</v>
      </c>
      <c r="AD31" s="20" t="s">
        <v>236</v>
      </c>
      <c r="AE31" s="17">
        <v>9624</v>
      </c>
      <c r="AG31" s="18">
        <f>iferror(lookup(if(AF31="",H31,AF31),{0,1,10,50,100,1000,10000},{0.0,0.25,0.212,0.212,0.162,0.126,0.118}),"")</f>
        <v>0</v>
      </c>
      <c r="AH31" s="18">
        <f>iferror(if(AF31="",H31,AF31)*AG31,"")</f>
        <v>0</v>
      </c>
      <c r="AI31" s="20" t="s">
        <v>259</v>
      </c>
      <c r="AJ31" s="17">
        <v>194</v>
      </c>
      <c r="AL31" s="18">
        <f>iferror(lookup(if(AK31="",H31,AK31),{0,1,5,10,100,8000,12000,18000,30000},{0.0,0.22,0.22,0.208,0.185,0.133,0.121,0.113,0.105}),"")</f>
        <v>0</v>
      </c>
      <c r="AM31" s="18">
        <f>iferror(if(AK31="",H31,AK31)*AL31,"")</f>
        <v>0</v>
      </c>
      <c r="AN31" s="20" t="s">
        <v>281</v>
      </c>
      <c r="AO31" s="17">
        <v>3200</v>
      </c>
      <c r="AQ31" s="18">
        <f>iferror(USD_GBP*lookup(if(AP31="",H31,AP31),{0,1,50,100,250,500,1000},{0.0,0.159,0.159,0.095,0.091,0.087,0.071}),"")</f>
        <v>0</v>
      </c>
      <c r="AR31" s="18">
        <f>iferror(if(AP31="",H31,AP31)*AQ31,"")</f>
        <v>0</v>
      </c>
      <c r="AS31" s="20" t="s">
        <v>291</v>
      </c>
      <c r="AT31" s="17">
        <v>3104</v>
      </c>
      <c r="AV31" s="18">
        <f>iferror(USD_EUR*lookup(if(AU31="",H31,AU31),{0,1,5,25,100,500,2000},{0.0,0.189,0.189,0.17,0.15,0.135,0.126}),"")</f>
        <v>0</v>
      </c>
      <c r="AW31" s="18">
        <f>iferror(if(AU31="",H31,AU31)*AV31,"")</f>
        <v>0</v>
      </c>
      <c r="AX31" s="20" t="s">
        <v>132</v>
      </c>
    </row>
    <row r="32" spans="1:50">
      <c r="A32" s="17" t="s">
        <v>133</v>
      </c>
      <c r="B32" s="17" t="s">
        <v>134</v>
      </c>
      <c r="C32" s="17" t="s">
        <v>135</v>
      </c>
      <c r="D32" s="17" t="s">
        <v>138</v>
      </c>
      <c r="E32" s="17" t="s">
        <v>136</v>
      </c>
      <c r="F32" s="17" t="s">
        <v>137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</row>
    <row r="33" spans="1:49">
      <c r="A33" s="17" t="s">
        <v>139</v>
      </c>
      <c r="B33" s="17" t="s">
        <v>140</v>
      </c>
      <c r="C33" s="17" t="s">
        <v>141</v>
      </c>
      <c r="E33" s="17" t="s">
        <v>142</v>
      </c>
      <c r="F33" s="17" t="s">
        <v>143</v>
      </c>
      <c r="G33" s="17" t="s">
        <v>140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5009</v>
      </c>
      <c r="R33" s="18">
        <f>iferror(lookup(if(Q33="",H33,Q33),{0,1,10,25,50,100,250,500,1000,5000},{0.0,1.44,1.31,1.2748,1.2684,1.1338,1.13048,1.11342,1.06616,0.99263}),"")</f>
        <v>0</v>
      </c>
      <c r="S33" s="18">
        <f>iferror(if(Q33="",H33,Q33)*R33,"")</f>
        <v>0</v>
      </c>
      <c r="T33" s="20" t="s">
        <v>201</v>
      </c>
    </row>
    <row r="34" spans="1:49">
      <c r="A34" s="17" t="s">
        <v>144</v>
      </c>
      <c r="B34" s="17" t="s">
        <v>145</v>
      </c>
      <c r="C34" s="17" t="s">
        <v>146</v>
      </c>
      <c r="E34" s="17" t="s">
        <v>147</v>
      </c>
      <c r="F34" s="17" t="s">
        <v>148</v>
      </c>
      <c r="G34" s="17" t="s">
        <v>145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7">
        <v>3992</v>
      </c>
      <c r="R34" s="18">
        <f>iferror(lookup(if(Q34="",H34,Q34),{0,1,25,100,2000},{0.0,6.0,5.25,5.005,5.005}),"")</f>
        <v>0</v>
      </c>
      <c r="S34" s="18">
        <f>iferror(if(Q34="",H34,Q34)*R34,"")</f>
        <v>0</v>
      </c>
      <c r="T34" s="20" t="s">
        <v>202</v>
      </c>
      <c r="AE34" s="17">
        <v>1346</v>
      </c>
      <c r="AG34" s="18">
        <f>iferror(lookup(if(AF34="",H34,AF34),{0,1,10,50,100,1000,10000},{0.0,6.06,6.06,5.31,5.06,5.06,5.05}),"")</f>
        <v>0</v>
      </c>
      <c r="AH34" s="18">
        <f>iferror(if(AF34="",H34,AF34)*AG34,"")</f>
        <v>0</v>
      </c>
      <c r="AI34" s="20" t="s">
        <v>260</v>
      </c>
    </row>
    <row r="35" spans="1:49">
      <c r="A35" s="17" t="s">
        <v>149</v>
      </c>
      <c r="B35" s="17" t="s">
        <v>150</v>
      </c>
      <c r="C35" s="17" t="s">
        <v>151</v>
      </c>
      <c r="E35" s="17" t="s">
        <v>152</v>
      </c>
      <c r="F35" s="17" t="s">
        <v>153</v>
      </c>
      <c r="G35" s="17" t="s">
        <v>150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9" t="s">
        <v>177</v>
      </c>
      <c r="T35" s="20" t="s">
        <v>203</v>
      </c>
      <c r="AE35" s="17">
        <v>482</v>
      </c>
      <c r="AG35" s="18">
        <f>iferror(lookup(if(AF35="",H35,AF35),{0,1,10,50,100,1000,10000},{0.0,1.83,1.76,1.72,1.47,1.15,1.05}),"")</f>
        <v>0</v>
      </c>
      <c r="AH35" s="18">
        <f>iferror(if(AF35="",H35,AF35)*AG35,"")</f>
        <v>0</v>
      </c>
      <c r="AI35" s="20" t="s">
        <v>261</v>
      </c>
    </row>
    <row r="37" spans="1:49">
      <c r="B37" s="21" t="s">
        <v>156</v>
      </c>
      <c r="I37" s="1" t="s">
        <v>154</v>
      </c>
      <c r="J37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7" s="20" t="s">
        <v>174</v>
      </c>
      <c r="L37" s="6">
        <f>IFERROR(IF(OR(L7:L35),COUNTIFS(L7:L35,"&gt;0",N7:N35,"&lt;&gt;")&amp;" of "&amp;(ROWS(N7:N35)-COUNTBLANK(N7:N35))&amp;" parts purchased",""),"")</f>
        <v>0</v>
      </c>
      <c r="N37" s="5">
        <f>SUMIF(L7:L35,"&gt;0",N7:N35)</f>
        <v>0</v>
      </c>
      <c r="P37" s="20" t="s">
        <v>174</v>
      </c>
      <c r="Q37" s="6">
        <f>IFERROR(IF(OR(Q7:Q35),COUNTIFS(Q7:Q35,"&gt;0",S7:S35,"&lt;&gt;")&amp;" of "&amp;(ROWS(S7:S35)-COUNTBLANK(S7:S35))&amp;" parts purchased",""),"")</f>
        <v>0</v>
      </c>
      <c r="S37" s="5">
        <f>SUMIF(Q7:Q35,"&gt;0",S7:S35)</f>
        <v>0</v>
      </c>
      <c r="U37" s="20" t="s">
        <v>174</v>
      </c>
      <c r="V37" s="6">
        <f>IFERROR(IF(OR(V7:V35),COUNTIFS(V7:V35,"&gt;0",X7:X35,"&lt;&gt;")&amp;" of "&amp;(ROWS(X7:X35)-COUNTBLANK(X7:X35))&amp;" parts purchased",""),"")</f>
        <v>0</v>
      </c>
      <c r="X37" s="5">
        <f>SUMIF(V7:V35,"&gt;0",X7:X35)</f>
        <v>0</v>
      </c>
      <c r="Z37" s="20" t="s">
        <v>174</v>
      </c>
      <c r="AA37" s="6">
        <f>IFERROR(IF(OR(AA7:AA35),COUNTIFS(AA7:AA35,"&gt;0",AC7:AC35,"&lt;&gt;")&amp;" of "&amp;(ROWS(AC7:AC35)-COUNTBLANK(AC7:AC35))&amp;" parts purchased",""),"")</f>
        <v>0</v>
      </c>
      <c r="AC37" s="5">
        <f>SUMIF(AA7:AA35,"&gt;0",AC7:AC35)</f>
        <v>0</v>
      </c>
      <c r="AE37" s="20" t="s">
        <v>174</v>
      </c>
      <c r="AF37" s="6">
        <f>IFERROR(IF(OR(AF7:AF35),COUNTIFS(AF7:AF35,"&gt;0",AH7:AH35,"&lt;&gt;")&amp;" of "&amp;(ROWS(AH7:AH35)-COUNTBLANK(AH7:AH35))&amp;" parts purchased",""),"")</f>
        <v>0</v>
      </c>
      <c r="AH37" s="5">
        <f>SUMIF(AF7:AF35,"&gt;0",AH7:AH35)</f>
        <v>0</v>
      </c>
      <c r="AJ37" s="20" t="s">
        <v>174</v>
      </c>
      <c r="AK37" s="6">
        <f>IFERROR(IF(OR(AK7:AK35),COUNTIFS(AK7:AK35,"&gt;0",AM7:AM35,"&lt;&gt;")&amp;" of "&amp;(ROWS(AM7:AM35)-COUNTBLANK(AM7:AM35))&amp;" parts purchased",""),"")</f>
        <v>0</v>
      </c>
      <c r="AM37" s="5">
        <f>SUMIF(AK7:AK35,"&gt;0",AM7:AM35)</f>
        <v>0</v>
      </c>
      <c r="AO37" s="20" t="s">
        <v>174</v>
      </c>
      <c r="AP37" s="6">
        <f>IFERROR(IF(OR(AP7:AP35),COUNTIFS(AP7:AP35,"&gt;0",AR7:AR35,"&lt;&gt;")&amp;" of "&amp;(ROWS(AR7:AR35)-COUNTBLANK(AR7:AR35))&amp;" parts purchased",""),"")</f>
        <v>0</v>
      </c>
      <c r="AR37" s="5">
        <f>SUMIF(AP7:AP35,"&gt;0",AR7:AR35)</f>
        <v>0</v>
      </c>
      <c r="AT37" s="20" t="s">
        <v>174</v>
      </c>
      <c r="AU37" s="6">
        <f>IFERROR(IF(OR(AU7:AU35),COUNTIFS(AU7:AU35,"&gt;0",AW7:AW35,"&lt;&gt;")&amp;" of "&amp;(ROWS(AW7:AW35)-COUNTBLANK(AW7:AW35))&amp;" parts purchased",""),"")</f>
        <v>0</v>
      </c>
      <c r="AW37" s="5">
        <f>SUMIF(AU7:AU35,"&gt;0",AW7:AW35)</f>
        <v>0</v>
      </c>
    </row>
    <row r="38" spans="1:49">
      <c r="B38" s="21" t="s">
        <v>157</v>
      </c>
      <c r="C38">
        <v>1.1652</v>
      </c>
      <c r="I38" s="21" t="s">
        <v>155</v>
      </c>
      <c r="L38">
        <f t="array" ref="L3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8">
        <f t="array" ref="Q3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8">
        <f t="array" ref="V3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8" s="6">
        <f>IFERROR(IF(COUNTIFS(AA7:AA35,"&gt;0",AC7:AC35,"&lt;&gt;")&gt;0,"Quantity,Comment,Designator,Footprint,LCSC Part #(optional)",""),"")</f>
        <v>0</v>
      </c>
      <c r="AF38">
        <f t="array" ref="AF3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8">
        <f t="array" ref="AK3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8">
        <f t="array" ref="AP3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8">
        <f t="array" ref="AU3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39" spans="1:49">
      <c r="B39" s="21" t="s">
        <v>158</v>
      </c>
      <c r="C39">
        <v>1.293904700565222</v>
      </c>
      <c r="L39">
        <f t="array" ref="L3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39">
        <f t="array" ref="Q3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39">
        <f t="array" ref="V3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39">
        <f t="array" ref="AA3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39">
        <f t="array" ref="AF3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39">
        <f t="array" ref="AK3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39">
        <f t="array" ref="AP3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39">
        <f t="array" ref="AU3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0" spans="1:49">
      <c r="L40">
        <f t="array" ref="L4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0">
        <f t="array" ref="Q4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0">
        <f t="array" ref="V4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0">
        <f t="array" ref="AA4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0">
        <f t="array" ref="AF4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0">
        <f t="array" ref="AK4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0">
        <f t="array" ref="AP4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0">
        <f t="array" ref="AU4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1" spans="1:49">
      <c r="A41" s="2" t="s">
        <v>296</v>
      </c>
      <c r="L41">
        <f t="array" ref="L4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1">
        <f t="array" ref="Q4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1">
        <f t="array" ref="V4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1">
        <f t="array" ref="AA4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1">
        <f t="array" ref="AF4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1">
        <f t="array" ref="AK4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1">
        <f t="array" ref="AP4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1">
        <f t="array" ref="AU4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2" spans="1:49">
      <c r="L42">
        <f t="array" ref="L4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2">
        <f t="array" ref="Q4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2">
        <f t="array" ref="V4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2">
        <f t="array" ref="AA4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2">
        <f t="array" ref="AF4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2">
        <f t="array" ref="AK4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2">
        <f t="array" ref="AP4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2">
        <f t="array" ref="AU4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3" spans="1:49">
      <c r="L43">
        <f t="array" ref="L4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3">
        <f t="array" ref="Q4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3">
        <f t="array" ref="V4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3">
        <f t="array" ref="AA4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3">
        <f t="array" ref="AF4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3">
        <f t="array" ref="AK4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3">
        <f t="array" ref="AP4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3">
        <f t="array" ref="AU4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4" spans="1:49">
      <c r="L44">
        <f t="array" ref="L4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4">
        <f t="array" ref="Q4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4">
        <f t="array" ref="V4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4">
        <f t="array" ref="AA4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4">
        <f t="array" ref="AF4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4">
        <f t="array" ref="AK4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4">
        <f t="array" ref="AP4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4">
        <f t="array" ref="AU4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5" spans="1:49">
      <c r="L45">
        <f t="array" ref="L4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5">
        <f t="array" ref="Q4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5">
        <f t="array" ref="V4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5">
        <f t="array" ref="AA4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5">
        <f t="array" ref="AF4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5">
        <f t="array" ref="AK4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5">
        <f t="array" ref="AP4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5">
        <f t="array" ref="AU4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6" spans="1:49">
      <c r="L46">
        <f t="array" ref="L4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6">
        <f t="array" ref="Q4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6">
        <f t="array" ref="V4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6">
        <f t="array" ref="AA4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6">
        <f t="array" ref="AF4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6">
        <f t="array" ref="AK4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6">
        <f t="array" ref="AP4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6">
        <f t="array" ref="AU4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7" spans="1:49">
      <c r="L47">
        <f t="array" ref="L4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7">
        <f t="array" ref="Q4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7">
        <f t="array" ref="V4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7">
        <f t="array" ref="AA4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7">
        <f t="array" ref="AF4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7">
        <f t="array" ref="AK4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7">
        <f t="array" ref="AP4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7">
        <f t="array" ref="AU4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8" spans="1:49">
      <c r="L48">
        <f t="array" ref="L4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8">
        <f t="array" ref="Q4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8">
        <f t="array" ref="V4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8">
        <f t="array" ref="AA4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8">
        <f t="array" ref="AF4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8">
        <f t="array" ref="AK4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8">
        <f t="array" ref="AP4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8">
        <f t="array" ref="AU4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49" spans="12:47">
      <c r="L49">
        <f t="array" ref="L4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49">
        <f t="array" ref="Q4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49">
        <f t="array" ref="V4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49">
        <f t="array" ref="AA4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49">
        <f t="array" ref="AF4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49">
        <f t="array" ref="AK4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49">
        <f t="array" ref="AP4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49">
        <f t="array" ref="AU4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0" spans="12:47">
      <c r="L50">
        <f t="array" ref="L5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0">
        <f t="array" ref="Q5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0">
        <f t="array" ref="V5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0">
        <f t="array" ref="AA5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0">
        <f t="array" ref="AF5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0">
        <f t="array" ref="AK5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0">
        <f t="array" ref="AP5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0">
        <f t="array" ref="AU5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1" spans="12:47">
      <c r="L51">
        <f t="array" ref="L5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1">
        <f t="array" ref="Q5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1">
        <f t="array" ref="V5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1">
        <f t="array" ref="AA5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1">
        <f t="array" ref="AF5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1">
        <f t="array" ref="AK5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1">
        <f t="array" ref="AP5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1">
        <f t="array" ref="AU5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2" spans="12:47">
      <c r="L52">
        <f t="array" ref="L5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2">
        <f t="array" ref="Q5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2">
        <f t="array" ref="V5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2">
        <f t="array" ref="AA5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2">
        <f t="array" ref="AF5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2">
        <f t="array" ref="AK5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2">
        <f t="array" ref="AP5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2">
        <f t="array" ref="AU5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3" spans="12:47">
      <c r="L53">
        <f t="array" ref="L5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3">
        <f t="array" ref="Q5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3">
        <f t="array" ref="V5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3">
        <f t="array" ref="AA5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3">
        <f t="array" ref="AF5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3">
        <f t="array" ref="AK5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3">
        <f t="array" ref="AP5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3">
        <f t="array" ref="AU5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4" spans="12:47">
      <c r="L54">
        <f t="array" ref="L5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4">
        <f t="array" ref="Q5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4">
        <f t="array" ref="V5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4">
        <f t="array" ref="AA5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4">
        <f t="array" ref="AF5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4">
        <f t="array" ref="AK5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4">
        <f t="array" ref="AP5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4">
        <f t="array" ref="AU5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5" spans="12:47">
      <c r="L55">
        <f t="array" ref="L5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5">
        <f t="array" ref="Q5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5">
        <f t="array" ref="V5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5">
        <f t="array" ref="AA5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5">
        <f t="array" ref="AF5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5">
        <f t="array" ref="AK5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5">
        <f t="array" ref="AP5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5">
        <f t="array" ref="AU5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6" spans="12:47">
      <c r="L56">
        <f t="array" ref="L5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6">
        <f t="array" ref="Q5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6">
        <f t="array" ref="V5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6">
        <f t="array" ref="AA5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6">
        <f t="array" ref="AF5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6">
        <f t="array" ref="AK5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6">
        <f t="array" ref="AP5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6">
        <f t="array" ref="AU5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7" spans="12:47">
      <c r="L57">
        <f t="array" ref="L57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7">
        <f t="array" ref="Q57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7">
        <f t="array" ref="V57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7">
        <f t="array" ref="AA5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7">
        <f t="array" ref="AF57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7">
        <f t="array" ref="AK57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7">
        <f t="array" ref="AP57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7">
        <f t="array" ref="AU57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8" spans="12:47">
      <c r="L58">
        <f t="array" ref="L58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8">
        <f t="array" ref="Q58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8">
        <f t="array" ref="V58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8">
        <f t="array" ref="AA58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8">
        <f t="array" ref="AF58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8">
        <f t="array" ref="AK58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8">
        <f t="array" ref="AP58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8">
        <f t="array" ref="AU58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59" spans="12:47">
      <c r="L59">
        <f t="array" ref="L59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59">
        <f t="array" ref="Q59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59">
        <f t="array" ref="V59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59">
        <f t="array" ref="AA59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59">
        <f t="array" ref="AF59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59">
        <f t="array" ref="AK59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59">
        <f t="array" ref="AP59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59">
        <f t="array" ref="AU59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0" spans="12:47">
      <c r="L60">
        <f t="array" ref="L60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0">
        <f t="array" ref="Q60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0">
        <f t="array" ref="V60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0">
        <f t="array" ref="AA60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0">
        <f t="array" ref="AF60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0">
        <f t="array" ref="AK60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0">
        <f t="array" ref="AP60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0">
        <f t="array" ref="AU60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1" spans="12:47">
      <c r="L61">
        <f t="array" ref="L61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1">
        <f t="array" ref="Q61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1">
        <f t="array" ref="V61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1">
        <f t="array" ref="AA61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1">
        <f t="array" ref="AF61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1">
        <f t="array" ref="AK61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1">
        <f t="array" ref="AP61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1">
        <f t="array" ref="AU61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2" spans="12:47">
      <c r="L62">
        <f t="array" ref="L62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2">
        <f t="array" ref="Q62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2">
        <f t="array" ref="V62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2">
        <f t="array" ref="AA62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2">
        <f t="array" ref="AF62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2">
        <f t="array" ref="AK62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2">
        <f t="array" ref="AP62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2">
        <f t="array" ref="AU62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3" spans="12:47">
      <c r="L63">
        <f t="array" ref="L63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3">
        <f t="array" ref="Q63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3">
        <f t="array" ref="V63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3">
        <f t="array" ref="AA63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3">
        <f t="array" ref="AF63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3">
        <f t="array" ref="AK63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3">
        <f t="array" ref="AP63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3">
        <f t="array" ref="AU63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4" spans="12:47">
      <c r="L64">
        <f t="array" ref="L64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4">
        <f t="array" ref="Q64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4">
        <f t="array" ref="V64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4">
        <f t="array" ref="AA64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4">
        <f t="array" ref="AF64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4">
        <f t="array" ref="AK64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4">
        <f t="array" ref="AP64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4">
        <f t="array" ref="AU64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5" spans="12:47">
      <c r="L65">
        <f t="array" ref="L65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5">
        <f t="array" ref="Q65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5">
        <f t="array" ref="V65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5">
        <f t="array" ref="AA65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5">
        <f t="array" ref="AF65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5">
        <f t="array" ref="AK65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5">
        <f t="array" ref="AP65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5">
        <f t="array" ref="AU65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6" spans="12:47">
      <c r="L66">
        <f t="array" ref="L66">IFERROR(CONCATENATE(INDEX(O7:O35,SMALL(IF(ISNUMBER(L7:L35),IF(L7:L35&gt;0,IF(O7:O35&lt;&gt;"",ROW(L7:L35)-MIN(ROW(L7:L35))+1))),ROW()-ROW(A$38)+1)),",",TEXT(INDEX(L7:L35,SMALL(IF(ISNUMBER(L7:L35),IF(L7:L35&gt;0,IF(O7:O35&lt;&gt;"",ROW(L7:L35)-MIN(ROW(L7:L35))+1))),ROW()-ROW(A$38)+1)),"##0"),",",SUBSTITUTE(INDEX(IF(PURCHASE_DESCRIPTION&lt;&gt;"",PURCHASE_DESCRIPTION&amp;":","")&amp;A7:A35,SMALL(IF(ISNUMBER(L7:L35),IF(L7:L35&gt;0,IF(O7:O35&lt;&gt;"",ROW(L7:L35)-MIN(ROW(L7:L35))+1))),ROW()-ROW(A$38)+1)),",",";")),"")</f>
        <v>0</v>
      </c>
      <c r="Q66">
        <f t="array" ref="Q66">IFERROR(CONCATENATE(TEXT(INDEX(Q7:Q35,SMALL(IF(ISNUMBER(Q7:Q35),IF(Q7:Q35&gt;0,IF(T7:T35&lt;&gt;"",ROW(Q7:Q35)-MIN(ROW(Q7:Q35))+1))),ROW()-ROW(A$38)+1)),"##0"),",",INDEX(T7:T35,SMALL(IF(ISNUMBER(Q7:Q35),IF(Q7:Q35&gt;0,IF(T7:T35&lt;&gt;"",ROW(Q7:Q35)-MIN(ROW(Q7:Q35))+1))),ROW()-ROW(A$38)+1)),",",SUBSTITUTE(INDEX(IF(PURCHASE_DESCRIPTION&lt;&gt;"",PURCHASE_DESCRIPTION&amp;":","")&amp;A7:A35,SMALL(IF(ISNUMBER(Q7:Q35),IF(Q7:Q35&gt;0,IF(T7:T35&lt;&gt;"",ROW(Q7:Q35)-MIN(ROW(Q7:Q35))+1))),ROW()-ROW(A$38)+1)),",",";")),"")</f>
        <v>0</v>
      </c>
      <c r="V66">
        <f t="array" ref="V66">IFERROR(CONCATENATE(INDEX(Y7:Y35,SMALL(IF(ISNUMBER(V7:V35),IF(V7:V35&gt;0,IF(Y7:Y35&lt;&gt;"",ROW(V7:V35)-MIN(ROW(V7:V35))+1))),ROW()-ROW(A$38)+1)),",",TEXT(INDEX(V7:V35,SMALL(IF(ISNUMBER(V7:V35),IF(V7:V35&gt;0,IF(Y7:Y35&lt;&gt;"",ROW(V7:V35)-MIN(ROW(V7:V35))+1))),ROW()-ROW(A$38)+1)),"##0"),",",SUBSTITUTE(SUBSTITUTE(INDEX(IF(PURCHASE_DESCRIPTION&lt;&gt;"",PURCHASE_DESCRIPTION&amp;":","")&amp;A7:A35,SMALL(IF(ISNUMBER(V7:V35),IF(V7:V35&gt;0,IF(Y7:Y35&lt;&gt;"",ROW(V7:V35)-MIN(ROW(V7:V35))+1))),ROW()-ROW(A$38)+1)),",",";"),"
",";"),",",SUBSTITUTE(SUBSTITUTE(INDEX(IF(PURCHASE_DESCRIPTION&lt;&gt;"",PURCHASE_DESCRIPTION&amp;":","")&amp;C7:C35,SMALL(IF(ISNUMBER(V7:V35),IF(V7:V35&gt;0,IF(Y7:Y35&lt;&gt;"",ROW(V7:V35)-MIN(ROW(V7:V35))+1))),ROW()-ROW(A$38)+1)),",",";"),"
",";"),",",SUBSTITUTE(SUBSTITUTE(INDEX(IF(PURCHASE_DESCRIPTION&lt;&gt;"",PURCHASE_DESCRIPTION&amp;":","")&amp;F7:F35,SMALL(IF(ISNUMBER(V7:V35),IF(V7:V35&gt;0,IF(Y7:Y35&lt;&gt;"",ROW(V7:V35)-MIN(ROW(V7:V35))+1))),ROW()-ROW(A$38)+1)),",",";"),"
",";"),",",SUBSTITUTE(SUBSTITUTE(INDEX(IF(PURCHASE_DESCRIPTION&lt;&gt;"",PURCHASE_DESCRIPTION&amp;":","")&amp;D7:D35,SMALL(IF(ISNUMBER(V7:V35),IF(V7:V35&gt;0,IF(Y7:Y35&lt;&gt;"",ROW(V7:V35)-MIN(ROW(V7:V35))+1))),ROW()-ROW(A$38)+1)),",",";"),"
",";")),"")</f>
        <v>0</v>
      </c>
      <c r="AA66">
        <f t="array" ref="AA66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  <c r="AF66">
        <f t="array" ref="AF66">IFERROR(CONCATENATE(INDEX(AI7:AI35,SMALL(IF(ISNUMBER(AF7:AF35),IF(AF7:AF35&gt;0,IF(AI7:AI35&lt;&gt;"",ROW(AF7:AF35)-MIN(ROW(AF7:AF35))+1))),ROW()-ROW(A$38)+1)),"|",TEXT(INDEX(AF7:AF35,SMALL(IF(ISNUMBER(AF7:AF35),IF(AF7:AF35&gt;0,IF(AI7:AI35&lt;&gt;"",ROW(AF7:AF35)-MIN(ROW(AF7:AF35))+1))),ROW()-ROW(A$38)+1)),"##0"),"|",SUBSTITUTE(SUBSTITUTE(INDEX(IF(PURCHASE_DESCRIPTION&lt;&gt;"",PURCHASE_DESCRIPTION&amp;":","")&amp;A7:A35,SMALL(IF(ISNUMBER(AF7:AF35),IF(AF7:AF35&gt;0,IF(AI7:AI35&lt;&gt;"",ROW(AF7:AF35)-MIN(ROW(AF7:AF35))+1))),ROW()-ROW(A$38)+1)),"|",";")," ","_")),"")</f>
        <v>0</v>
      </c>
      <c r="AK66">
        <f t="array" ref="AK66">IFERROR(CONCATENATE(INDEX(AN7:AN35,SMALL(IF(ISNUMBER(AK7:AK35),IF(AK7:AK35&gt;0,IF(AN7:AN35&lt;&gt;"",ROW(AK7:AK35)-MIN(ROW(AK7:AK35))+1))),ROW()-ROW(A$38)+1)),",",TEXT(INDEX(AK7:AK35,SMALL(IF(ISNUMBER(AK7:AK35),IF(AK7:AK35&gt;0,IF(AN7:AN35&lt;&gt;"",ROW(AK7:AK35)-MIN(ROW(AK7:AK35))+1))),ROW()-ROW(A$38)+1)),"##0"),",",SUBSTITUTE(SUBSTITUTE(INDEX(IF(PURCHASE_DESCRIPTION&lt;&gt;"",PURCHASE_DESCRIPTION&amp;":","")&amp;A7:A35,SMALL(IF(ISNUMBER(AK7:AK35),IF(AK7:AK35&gt;0,IF(AN7:AN35&lt;&gt;"",ROW(AK7:AK35)-MIN(ROW(AK7:AK35))+1))),ROW()-ROW(A$38)+1)),",",";"),"
",";"),",",SUBSTITUTE(SUBSTITUTE(INDEX(IF(PURCHASE_DESCRIPTION&lt;&gt;"",PURCHASE_DESCRIPTION&amp;":","")&amp;C7:C35,SMALL(IF(ISNUMBER(AK7:AK35),IF(AK7:AK35&gt;0,IF(AN7:AN35&lt;&gt;"",ROW(AK7:AK35)-MIN(ROW(AK7:AK35))+1))),ROW()-ROW(A$38)+1)),",",";"),"
",";"),",",SUBSTITUTE(SUBSTITUTE(INDEX(IF(PURCHASE_DESCRIPTION&lt;&gt;"",PURCHASE_DESCRIPTION&amp;":","")&amp;F7:F35,SMALL(IF(ISNUMBER(AK7:AK35),IF(AK7:AK35&gt;0,IF(AN7:AN35&lt;&gt;"",ROW(AK7:AK35)-MIN(ROW(AK7:AK35))+1))),ROW()-ROW(A$38)+1)),",",";"),"
",";"),",",SUBSTITUTE(SUBSTITUTE(INDEX(IF(PURCHASE_DESCRIPTION&lt;&gt;"",PURCHASE_DESCRIPTION&amp;":","")&amp;D7:D35,SMALL(IF(ISNUMBER(AK7:AK35),IF(AK7:AK35&gt;0,IF(AN7:AN35&lt;&gt;"",ROW(AK7:AK35)-MIN(ROW(AK7:AK35))+1))),ROW()-ROW(A$38)+1)),",",";"),"
",";")),"")</f>
        <v>0</v>
      </c>
      <c r="AP66">
        <f t="array" ref="AP66">IFERROR(CONCATENATE(INDEX(AS7:AS35,SMALL(IF(ISNUMBER(AP7:AP35),IF(AP7:AP35&gt;0,IF(AS7:AS35&lt;&gt;"",ROW(AP7:AP35)-MIN(ROW(AP7:AP35))+1))),ROW()-ROW(A$38)+1)),",",TEXT(INDEX(AP7:AP35,SMALL(IF(ISNUMBER(AP7:AP35),IF(AP7:AP35&gt;0,IF(AS7:AS35&lt;&gt;"",ROW(AP7:AP35)-MIN(ROW(AP7:AP35))+1))),ROW()-ROW(A$38)+1)),"##0"),",",,",",,",",,",",INDEX(G7:G35,SMALL(IF(ISNUMBER(AP7:AP35),IF(AP7:AP35&gt;0,IF(AS7:AS35&lt;&gt;"",ROW(AP7:AP35)-MIN(ROW(AP7:AP35))+1))),ROW()-ROW(A$38)+1)),",",SUBSTITUTE(INDEX(IF(PURCHASE_DESCRIPTION&lt;&gt;"",PURCHASE_DESCRIPTION&amp;":","")&amp;A7:A35,SMALL(IF(ISNUMBER(AP7:AP35),IF(AP7:AP35&gt;0,IF(AS7:AS35&lt;&gt;"",ROW(AP7:AP35)-MIN(ROW(AP7:AP35))+1))),ROW()-ROW(A$38)+1)),",",";")),"")</f>
        <v>0</v>
      </c>
      <c r="AU66">
        <f t="array" ref="AU66">IFERROR(CONCATENATE(INDEX(AX7:AX35,SMALL(IF(ISNUMBER(AU7:AU35),IF(AU7:AU35&gt;0,IF(AX7:AX35&lt;&gt;"",ROW(AU7:AU35)-MIN(ROW(AU7:AU35))+1))),ROW()-ROW(A$38)+1))," ",TEXT(INDEX(AU7:AU35,SMALL(IF(ISNUMBER(AU7:AU35),IF(AU7:AU35&gt;0,IF(AX7:AX35&lt;&gt;"",ROW(AU7:AU35)-MIN(ROW(AU7:AU35))+1))),ROW()-ROW(A$38)+1)),"##0")," ",SUBSTITUTE(INDEX(IF(PURCHASE_DESCRIPTION&lt;&gt;"",PURCHASE_DESCRIPTION&amp;":","")&amp;A7:A35,SMALL(IF(ISNUMBER(AU7:AU35),IF(AU7:AU35&gt;0,IF(AX7:AX35&lt;&gt;"",ROW(AU7:AU35)-MIN(ROW(AU7:AU35))+1))),ROW()-ROW(A$38)+1))," ",";")),"")</f>
        <v>0</v>
      </c>
    </row>
    <row r="67" spans="12:47">
      <c r="AA67">
        <f t="array" ref="AA67">IFERROR(CONCATENATE(TEXT(INDEX(AA7:AA35,SMALL(IF(ISNUMBER(AA7:AA35),IF(AA7:AA35&gt;0,IF(AD7:AD35&lt;&gt;"",ROW(AA7:AA35)-MIN(ROW(AA7:AA35))+1))),ROW()-ROW(A$39)+1)),"##0"),",",SUBSTITUTE(INDEX(IF(PURCHASE_DESCRIPTION&lt;&gt;"",PURCHASE_DESCRIPTION&amp;":","")&amp;A7:A35,SMALL(IF(ISNUMBER(AA7:AA35),IF(AA7:AA35&gt;0,IF(AD7:AD35&lt;&gt;"",ROW(AA7:AA35)-MIN(ROW(AA7:AA35))+1))),ROW()-ROW(A$39)+1)),",",";"),",",SUBSTITUTE(INDEX(IF(PURCHASE_DESCRIPTION&lt;&gt;"",PURCHASE_DESCRIPTION&amp;":","")&amp;E7:E35,SMALL(IF(ISNUMBER(AA7:AA35),IF(AA7:AA35&gt;0,IF(AD7:AD35&lt;&gt;"",ROW(AA7:AA35)-MIN(ROW(AA7:AA35))+1))),ROW()-ROW(A$39)+1)),",",";"),",",INDEX(AD7:AD35,SMALL(IF(ISNUMBER(AA7:AA35),IF(AA7:AA35&gt;0,IF(AD7:AD35&lt;&gt;"",ROW(AA7:AA35)-MIN(ROW(AA7:AA35))+1))),ROW()-ROW(A$39)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387">
      <formula>AND(AA10&gt;0,AA10&lt;10)</formula>
    </cfRule>
    <cfRule type="cellIs" dxfId="1" priority="388" operator="greaterThan">
      <formula>Z10</formula>
    </cfRule>
  </conditionalFormatting>
  <conditionalFormatting sqref="AA11">
    <cfRule type="expression" dxfId="3" priority="393">
      <formula>AND(AA11&gt;0,AA11&lt;5)</formula>
    </cfRule>
    <cfRule type="cellIs" dxfId="1" priority="394" operator="greaterThan">
      <formula>Z11</formula>
    </cfRule>
  </conditionalFormatting>
  <conditionalFormatting sqref="AA12">
    <cfRule type="expression" dxfId="3" priority="399">
      <formula>AND(AA12&gt;0,AA12&lt;50)</formula>
    </cfRule>
    <cfRule type="cellIs" dxfId="1" priority="400" operator="greaterThan">
      <formula>Z12</formula>
    </cfRule>
  </conditionalFormatting>
  <conditionalFormatting sqref="AA18">
    <cfRule type="cellIs" dxfId="1" priority="405" operator="greaterThan">
      <formula>Z18</formula>
    </cfRule>
  </conditionalFormatting>
  <conditionalFormatting sqref="AA24">
    <cfRule type="expression" dxfId="3" priority="410">
      <formula>AND(AA24&gt;0,AA24&lt;50)</formula>
    </cfRule>
    <cfRule type="cellIs" dxfId="1" priority="411" operator="greaterThan">
      <formula>Z24</formula>
    </cfRule>
  </conditionalFormatting>
  <conditionalFormatting sqref="AA25">
    <cfRule type="expression" dxfId="3" priority="416">
      <formula>AND(AA25&gt;0,AA25&lt;50)</formula>
    </cfRule>
    <cfRule type="cellIs" dxfId="1" priority="417" operator="greaterThan">
      <formula>Z25</formula>
    </cfRule>
  </conditionalFormatting>
  <conditionalFormatting sqref="AA26">
    <cfRule type="cellIs" dxfId="1" priority="422" operator="greaterThan">
      <formula>Z26</formula>
    </cfRule>
  </conditionalFormatting>
  <conditionalFormatting sqref="AA31">
    <cfRule type="cellIs" dxfId="1" priority="427" operator="greaterThan">
      <formula>Z31</formula>
    </cfRule>
  </conditionalFormatting>
  <conditionalFormatting sqref="AA7">
    <cfRule type="expression" dxfId="3" priority="369">
      <formula>AND(AA7&gt;0,AA7&lt;10)</formula>
    </cfRule>
    <cfRule type="cellIs" dxfId="1" priority="370" operator="greaterThan">
      <formula>Z7</formula>
    </cfRule>
  </conditionalFormatting>
  <conditionalFormatting sqref="AA8">
    <cfRule type="expression" dxfId="3" priority="375">
      <formula>AND(AA8&gt;0,AA8&lt;100)</formula>
    </cfRule>
    <cfRule type="cellIs" dxfId="1" priority="376" operator="greaterThan">
      <formula>Z8</formula>
    </cfRule>
  </conditionalFormatting>
  <conditionalFormatting sqref="AA9">
    <cfRule type="expression" dxfId="3" priority="381">
      <formula>AND(AA9&gt;0,AA9&lt;20)</formula>
    </cfRule>
    <cfRule type="cellIs" dxfId="1" priority="382" operator="greaterThan">
      <formula>Z9</formula>
    </cfRule>
  </conditionalFormatting>
  <conditionalFormatting sqref="AB10">
    <cfRule type="cellIs" dxfId="4" priority="390" operator="lessThanOrEqual">
      <formula>I10</formula>
    </cfRule>
  </conditionalFormatting>
  <conditionalFormatting sqref="AB11">
    <cfRule type="cellIs" dxfId="4" priority="396" operator="lessThanOrEqual">
      <formula>I11</formula>
    </cfRule>
  </conditionalFormatting>
  <conditionalFormatting sqref="AB12">
    <cfRule type="cellIs" dxfId="4" priority="402" operator="lessThanOrEqual">
      <formula>I12</formula>
    </cfRule>
  </conditionalFormatting>
  <conditionalFormatting sqref="AB18">
    <cfRule type="cellIs" dxfId="4" priority="407" operator="lessThanOrEqual">
      <formula>I18</formula>
    </cfRule>
  </conditionalFormatting>
  <conditionalFormatting sqref="AB24">
    <cfRule type="cellIs" dxfId="4" priority="413" operator="lessThanOrEqual">
      <formula>I24</formula>
    </cfRule>
  </conditionalFormatting>
  <conditionalFormatting sqref="AB25">
    <cfRule type="cellIs" dxfId="4" priority="419" operator="lessThanOrEqual">
      <formula>I25</formula>
    </cfRule>
  </conditionalFormatting>
  <conditionalFormatting sqref="AB26">
    <cfRule type="cellIs" dxfId="4" priority="424" operator="lessThanOrEqual">
      <formula>I26</formula>
    </cfRule>
  </conditionalFormatting>
  <conditionalFormatting sqref="AB31">
    <cfRule type="cellIs" dxfId="4" priority="429" operator="lessThanOrEqual">
      <formula>I31</formula>
    </cfRule>
  </conditionalFormatting>
  <conditionalFormatting sqref="AB7">
    <cfRule type="cellIs" dxfId="4" priority="372" operator="lessThanOrEqual">
      <formula>I7</formula>
    </cfRule>
  </conditionalFormatting>
  <conditionalFormatting sqref="AB8">
    <cfRule type="cellIs" dxfId="4" priority="378" operator="lessThanOrEqual">
      <formula>I8</formula>
    </cfRule>
  </conditionalFormatting>
  <conditionalFormatting sqref="AB9">
    <cfRule type="cellIs" dxfId="4" priority="384" operator="lessThanOrEqual">
      <formula>I9</formula>
    </cfRule>
  </conditionalFormatting>
  <conditionalFormatting sqref="AC10">
    <cfRule type="cellIs" dxfId="4" priority="389" operator="lessThanOrEqual">
      <formula>J10</formula>
    </cfRule>
  </conditionalFormatting>
  <conditionalFormatting sqref="AC11">
    <cfRule type="cellIs" dxfId="4" priority="395" operator="lessThanOrEqual">
      <formula>J11</formula>
    </cfRule>
  </conditionalFormatting>
  <conditionalFormatting sqref="AC12">
    <cfRule type="cellIs" dxfId="4" priority="401" operator="lessThanOrEqual">
      <formula>J12</formula>
    </cfRule>
  </conditionalFormatting>
  <conditionalFormatting sqref="AC18">
    <cfRule type="cellIs" dxfId="4" priority="406" operator="lessThanOrEqual">
      <formula>J18</formula>
    </cfRule>
  </conditionalFormatting>
  <conditionalFormatting sqref="AC24">
    <cfRule type="cellIs" dxfId="4" priority="412" operator="lessThanOrEqual">
      <formula>J24</formula>
    </cfRule>
  </conditionalFormatting>
  <conditionalFormatting sqref="AC25">
    <cfRule type="cellIs" dxfId="4" priority="418" operator="lessThanOrEqual">
      <formula>J25</formula>
    </cfRule>
  </conditionalFormatting>
  <conditionalFormatting sqref="AC26">
    <cfRule type="cellIs" dxfId="4" priority="423" operator="lessThanOrEqual">
      <formula>J26</formula>
    </cfRule>
  </conditionalFormatting>
  <conditionalFormatting sqref="AC31">
    <cfRule type="cellIs" dxfId="4" priority="428" operator="lessThanOrEqual">
      <formula>J31</formula>
    </cfRule>
  </conditionalFormatting>
  <conditionalFormatting sqref="AC7">
    <cfRule type="cellIs" dxfId="4" priority="371" operator="lessThanOrEqual">
      <formula>J7</formula>
    </cfRule>
  </conditionalFormatting>
  <conditionalFormatting sqref="AC8">
    <cfRule type="cellIs" dxfId="4" priority="377" operator="lessThanOrEqual">
      <formula>J8</formula>
    </cfRule>
  </conditionalFormatting>
  <conditionalFormatting sqref="AC9">
    <cfRule type="cellIs" dxfId="4" priority="383" operator="lessThanOrEqual">
      <formula>J9</formula>
    </cfRule>
  </conditionalFormatting>
  <conditionalFormatting sqref="AE10">
    <cfRule type="cellIs" dxfId="1" priority="445" operator="equal">
      <formula>0</formula>
    </cfRule>
    <cfRule type="cellIs" dxfId="2" priority="446" operator="lessThan">
      <formula>H10</formula>
    </cfRule>
  </conditionalFormatting>
  <conditionalFormatting sqref="AE11">
    <cfRule type="cellIs" dxfId="1" priority="450" operator="equal">
      <formula>0</formula>
    </cfRule>
    <cfRule type="cellIs" dxfId="2" priority="451" operator="lessThan">
      <formula>H11</formula>
    </cfRule>
  </conditionalFormatting>
  <conditionalFormatting sqref="AE12">
    <cfRule type="cellIs" dxfId="1" priority="455" operator="equal">
      <formula>0</formula>
    </cfRule>
    <cfRule type="cellIs" dxfId="2" priority="456" operator="lessThan">
      <formula>H12</formula>
    </cfRule>
  </conditionalFormatting>
  <conditionalFormatting sqref="AE13">
    <cfRule type="cellIs" dxfId="1" priority="460" operator="equal">
      <formula>0</formula>
    </cfRule>
    <cfRule type="cellIs" dxfId="2" priority="461" operator="lessThan">
      <formula>H13</formula>
    </cfRule>
  </conditionalFormatting>
  <conditionalFormatting sqref="AE14">
    <cfRule type="cellIs" dxfId="1" priority="465" operator="equal">
      <formula>0</formula>
    </cfRule>
    <cfRule type="cellIs" dxfId="2" priority="466" operator="lessThan">
      <formula>H14</formula>
    </cfRule>
  </conditionalFormatting>
  <conditionalFormatting sqref="AE15">
    <cfRule type="cellIs" dxfId="1" priority="470" operator="equal">
      <formula>0</formula>
    </cfRule>
    <cfRule type="cellIs" dxfId="2" priority="471" operator="lessThan">
      <formula>H15</formula>
    </cfRule>
  </conditionalFormatting>
  <conditionalFormatting sqref="AE19">
    <cfRule type="cellIs" dxfId="1" priority="475" operator="equal">
      <formula>0</formula>
    </cfRule>
    <cfRule type="cellIs" dxfId="2" priority="476" operator="lessThan">
      <formula>H19</formula>
    </cfRule>
  </conditionalFormatting>
  <conditionalFormatting sqref="AE20">
    <cfRule type="cellIs" dxfId="1" priority="480" operator="equal">
      <formula>0</formula>
    </cfRule>
    <cfRule type="cellIs" dxfId="2" priority="481" operator="lessThan">
      <formula>H20</formula>
    </cfRule>
  </conditionalFormatting>
  <conditionalFormatting sqref="AE21">
    <cfRule type="cellIs" dxfId="1" priority="485" operator="equal">
      <formula>0</formula>
    </cfRule>
    <cfRule type="cellIs" dxfId="2" priority="486" operator="lessThan">
      <formula>H21</formula>
    </cfRule>
  </conditionalFormatting>
  <conditionalFormatting sqref="AE22">
    <cfRule type="cellIs" dxfId="1" priority="490" operator="equal">
      <formula>0</formula>
    </cfRule>
    <cfRule type="cellIs" dxfId="2" priority="491" operator="lessThan">
      <formula>H22</formula>
    </cfRule>
  </conditionalFormatting>
  <conditionalFormatting sqref="AE23">
    <cfRule type="cellIs" dxfId="1" priority="495" operator="equal">
      <formula>0</formula>
    </cfRule>
    <cfRule type="cellIs" dxfId="2" priority="496" operator="lessThan">
      <formula>H23</formula>
    </cfRule>
  </conditionalFormatting>
  <conditionalFormatting sqref="AE24">
    <cfRule type="cellIs" dxfId="1" priority="500" operator="equal">
      <formula>0</formula>
    </cfRule>
    <cfRule type="cellIs" dxfId="2" priority="501" operator="lessThan">
      <formula>H24</formula>
    </cfRule>
  </conditionalFormatting>
  <conditionalFormatting sqref="AE25">
    <cfRule type="cellIs" dxfId="1" priority="505" operator="equal">
      <formula>0</formula>
    </cfRule>
    <cfRule type="cellIs" dxfId="2" priority="506" operator="lessThan">
      <formula>H25</formula>
    </cfRule>
  </conditionalFormatting>
  <conditionalFormatting sqref="AE26">
    <cfRule type="cellIs" dxfId="1" priority="510" operator="equal">
      <formula>0</formula>
    </cfRule>
    <cfRule type="cellIs" dxfId="2" priority="511" operator="lessThan">
      <formula>H26</formula>
    </cfRule>
  </conditionalFormatting>
  <conditionalFormatting sqref="AE27">
    <cfRule type="cellIs" dxfId="1" priority="515" operator="equal">
      <formula>0</formula>
    </cfRule>
    <cfRule type="cellIs" dxfId="2" priority="516" operator="lessThan">
      <formula>H27</formula>
    </cfRule>
  </conditionalFormatting>
  <conditionalFormatting sqref="AE28">
    <cfRule type="cellIs" dxfId="1" priority="520" operator="equal">
      <formula>0</formula>
    </cfRule>
    <cfRule type="cellIs" dxfId="2" priority="521" operator="lessThan">
      <formula>H28</formula>
    </cfRule>
  </conditionalFormatting>
  <conditionalFormatting sqref="AE29">
    <cfRule type="cellIs" dxfId="1" priority="525" operator="equal">
      <formula>0</formula>
    </cfRule>
    <cfRule type="cellIs" dxfId="2" priority="526" operator="lessThan">
      <formula>H29</formula>
    </cfRule>
  </conditionalFormatting>
  <conditionalFormatting sqref="AE30">
    <cfRule type="cellIs" dxfId="1" priority="530" operator="equal">
      <formula>0</formula>
    </cfRule>
    <cfRule type="cellIs" dxfId="2" priority="531" operator="lessThan">
      <formula>H30</formula>
    </cfRule>
  </conditionalFormatting>
  <conditionalFormatting sqref="AE31">
    <cfRule type="cellIs" dxfId="1" priority="535" operator="equal">
      <formula>0</formula>
    </cfRule>
    <cfRule type="cellIs" dxfId="2" priority="536" operator="lessThan">
      <formula>H31</formula>
    </cfRule>
  </conditionalFormatting>
  <conditionalFormatting sqref="AE34">
    <cfRule type="cellIs" dxfId="1" priority="540" operator="equal">
      <formula>0</formula>
    </cfRule>
    <cfRule type="cellIs" dxfId="2" priority="541" operator="lessThan">
      <formula>H34</formula>
    </cfRule>
  </conditionalFormatting>
  <conditionalFormatting sqref="AE35">
    <cfRule type="cellIs" dxfId="1" priority="545" operator="equal">
      <formula>0</formula>
    </cfRule>
    <cfRule type="cellIs" dxfId="2" priority="546" operator="lessThan">
      <formula>H35</formula>
    </cfRule>
  </conditionalFormatting>
  <conditionalFormatting sqref="AE7">
    <cfRule type="cellIs" dxfId="1" priority="430" operator="equal">
      <formula>0</formula>
    </cfRule>
    <cfRule type="cellIs" dxfId="2" priority="431" operator="lessThan">
      <formula>H7</formula>
    </cfRule>
  </conditionalFormatting>
  <conditionalFormatting sqref="AE8">
    <cfRule type="cellIs" dxfId="1" priority="435" operator="equal">
      <formula>0</formula>
    </cfRule>
    <cfRule type="cellIs" dxfId="2" priority="436" operator="lessThan">
      <formula>H8</formula>
    </cfRule>
  </conditionalFormatting>
  <conditionalFormatting sqref="AE9">
    <cfRule type="cellIs" dxfId="1" priority="440" operator="equal">
      <formula>0</formula>
    </cfRule>
    <cfRule type="cellIs" dxfId="2" priority="441" operator="lessThan">
      <formula>H9</formula>
    </cfRule>
  </conditionalFormatting>
  <conditionalFormatting sqref="AF10">
    <cfRule type="cellIs" dxfId="1" priority="447" operator="greaterThan">
      <formula>AE10</formula>
    </cfRule>
  </conditionalFormatting>
  <conditionalFormatting sqref="AF11">
    <cfRule type="cellIs" dxfId="1" priority="452" operator="greaterThan">
      <formula>AE11</formula>
    </cfRule>
  </conditionalFormatting>
  <conditionalFormatting sqref="AF12">
    <cfRule type="cellIs" dxfId="1" priority="457" operator="greaterThan">
      <formula>AE12</formula>
    </cfRule>
  </conditionalFormatting>
  <conditionalFormatting sqref="AF13">
    <cfRule type="cellIs" dxfId="1" priority="462" operator="greaterThan">
      <formula>AE13</formula>
    </cfRule>
  </conditionalFormatting>
  <conditionalFormatting sqref="AF14">
    <cfRule type="cellIs" dxfId="1" priority="467" operator="greaterThan">
      <formula>AE14</formula>
    </cfRule>
  </conditionalFormatting>
  <conditionalFormatting sqref="AF15">
    <cfRule type="cellIs" dxfId="1" priority="472" operator="greaterThan">
      <formula>AE15</formula>
    </cfRule>
  </conditionalFormatting>
  <conditionalFormatting sqref="AF19">
    <cfRule type="cellIs" dxfId="1" priority="477" operator="greaterThan">
      <formula>AE19</formula>
    </cfRule>
  </conditionalFormatting>
  <conditionalFormatting sqref="AF20">
    <cfRule type="cellIs" dxfId="1" priority="482" operator="greaterThan">
      <formula>AE20</formula>
    </cfRule>
  </conditionalFormatting>
  <conditionalFormatting sqref="AF21">
    <cfRule type="cellIs" dxfId="1" priority="487" operator="greaterThan">
      <formula>AE21</formula>
    </cfRule>
  </conditionalFormatting>
  <conditionalFormatting sqref="AF22">
    <cfRule type="cellIs" dxfId="1" priority="492" operator="greaterThan">
      <formula>AE22</formula>
    </cfRule>
  </conditionalFormatting>
  <conditionalFormatting sqref="AF23">
    <cfRule type="cellIs" dxfId="1" priority="497" operator="greaterThan">
      <formula>AE23</formula>
    </cfRule>
  </conditionalFormatting>
  <conditionalFormatting sqref="AF24">
    <cfRule type="cellIs" dxfId="1" priority="502" operator="greaterThan">
      <formula>AE24</formula>
    </cfRule>
  </conditionalFormatting>
  <conditionalFormatting sqref="AF25">
    <cfRule type="cellIs" dxfId="1" priority="507" operator="greaterThan">
      <formula>AE25</formula>
    </cfRule>
  </conditionalFormatting>
  <conditionalFormatting sqref="AF26">
    <cfRule type="cellIs" dxfId="1" priority="512" operator="greaterThan">
      <formula>AE26</formula>
    </cfRule>
  </conditionalFormatting>
  <conditionalFormatting sqref="AF27">
    <cfRule type="cellIs" dxfId="1" priority="517" operator="greaterThan">
      <formula>AE27</formula>
    </cfRule>
  </conditionalFormatting>
  <conditionalFormatting sqref="AF28">
    <cfRule type="cellIs" dxfId="1" priority="522" operator="greaterThan">
      <formula>AE28</formula>
    </cfRule>
  </conditionalFormatting>
  <conditionalFormatting sqref="AF29">
    <cfRule type="cellIs" dxfId="1" priority="527" operator="greaterThan">
      <formula>AE29</formula>
    </cfRule>
  </conditionalFormatting>
  <conditionalFormatting sqref="AF30">
    <cfRule type="cellIs" dxfId="1" priority="532" operator="greaterThan">
      <formula>AE30</formula>
    </cfRule>
  </conditionalFormatting>
  <conditionalFormatting sqref="AF31">
    <cfRule type="cellIs" dxfId="1" priority="537" operator="greaterThan">
      <formula>AE31</formula>
    </cfRule>
  </conditionalFormatting>
  <conditionalFormatting sqref="AF34">
    <cfRule type="cellIs" dxfId="1" priority="542" operator="greaterThan">
      <formula>AE34</formula>
    </cfRule>
  </conditionalFormatting>
  <conditionalFormatting sqref="AF35">
    <cfRule type="cellIs" dxfId="1" priority="547" operator="greaterThan">
      <formula>AE35</formula>
    </cfRule>
  </conditionalFormatting>
  <conditionalFormatting sqref="AF7">
    <cfRule type="cellIs" dxfId="1" priority="432" operator="greaterThan">
      <formula>AE7</formula>
    </cfRule>
  </conditionalFormatting>
  <conditionalFormatting sqref="AF8">
    <cfRule type="cellIs" dxfId="1" priority="437" operator="greaterThan">
      <formula>AE8</formula>
    </cfRule>
  </conditionalFormatting>
  <conditionalFormatting sqref="AF9">
    <cfRule type="cellIs" dxfId="1" priority="442" operator="greaterThan">
      <formula>AE9</formula>
    </cfRule>
  </conditionalFormatting>
  <conditionalFormatting sqref="AG10">
    <cfRule type="cellIs" dxfId="4" priority="449" operator="lessThanOrEqual">
      <formula>I10</formula>
    </cfRule>
  </conditionalFormatting>
  <conditionalFormatting sqref="AG11">
    <cfRule type="cellIs" dxfId="4" priority="454" operator="lessThanOrEqual">
      <formula>I11</formula>
    </cfRule>
  </conditionalFormatting>
  <conditionalFormatting sqref="AG12">
    <cfRule type="cellIs" dxfId="4" priority="459" operator="lessThanOrEqual">
      <formula>I12</formula>
    </cfRule>
  </conditionalFormatting>
  <conditionalFormatting sqref="AG13">
    <cfRule type="cellIs" dxfId="4" priority="464" operator="lessThanOrEqual">
      <formula>I13</formula>
    </cfRule>
  </conditionalFormatting>
  <conditionalFormatting sqref="AG14">
    <cfRule type="cellIs" dxfId="4" priority="469" operator="lessThanOrEqual">
      <formula>I14</formula>
    </cfRule>
  </conditionalFormatting>
  <conditionalFormatting sqref="AG15">
    <cfRule type="cellIs" dxfId="4" priority="474" operator="lessThanOrEqual">
      <formula>I15</formula>
    </cfRule>
  </conditionalFormatting>
  <conditionalFormatting sqref="AG19">
    <cfRule type="cellIs" dxfId="4" priority="479" operator="lessThanOrEqual">
      <formula>I19</formula>
    </cfRule>
  </conditionalFormatting>
  <conditionalFormatting sqref="AG20">
    <cfRule type="cellIs" dxfId="4" priority="484" operator="lessThanOrEqual">
      <formula>I20</formula>
    </cfRule>
  </conditionalFormatting>
  <conditionalFormatting sqref="AG21">
    <cfRule type="cellIs" dxfId="4" priority="489" operator="lessThanOrEqual">
      <formula>I21</formula>
    </cfRule>
  </conditionalFormatting>
  <conditionalFormatting sqref="AG22">
    <cfRule type="cellIs" dxfId="4" priority="494" operator="lessThanOrEqual">
      <formula>I22</formula>
    </cfRule>
  </conditionalFormatting>
  <conditionalFormatting sqref="AG23">
    <cfRule type="cellIs" dxfId="4" priority="499" operator="lessThanOrEqual">
      <formula>I23</formula>
    </cfRule>
  </conditionalFormatting>
  <conditionalFormatting sqref="AG24">
    <cfRule type="cellIs" dxfId="4" priority="504" operator="lessThanOrEqual">
      <formula>I24</formula>
    </cfRule>
  </conditionalFormatting>
  <conditionalFormatting sqref="AG25">
    <cfRule type="cellIs" dxfId="4" priority="509" operator="lessThanOrEqual">
      <formula>I25</formula>
    </cfRule>
  </conditionalFormatting>
  <conditionalFormatting sqref="AG26">
    <cfRule type="cellIs" dxfId="4" priority="514" operator="lessThanOrEqual">
      <formula>I26</formula>
    </cfRule>
  </conditionalFormatting>
  <conditionalFormatting sqref="AG27">
    <cfRule type="cellIs" dxfId="4" priority="519" operator="lessThanOrEqual">
      <formula>I27</formula>
    </cfRule>
  </conditionalFormatting>
  <conditionalFormatting sqref="AG28">
    <cfRule type="cellIs" dxfId="4" priority="524" operator="lessThanOrEqual">
      <formula>I28</formula>
    </cfRule>
  </conditionalFormatting>
  <conditionalFormatting sqref="AG29">
    <cfRule type="cellIs" dxfId="4" priority="529" operator="lessThanOrEqual">
      <formula>I29</formula>
    </cfRule>
  </conditionalFormatting>
  <conditionalFormatting sqref="AG30">
    <cfRule type="cellIs" dxfId="4" priority="534" operator="lessThanOrEqual">
      <formula>I30</formula>
    </cfRule>
  </conditionalFormatting>
  <conditionalFormatting sqref="AG31">
    <cfRule type="cellIs" dxfId="4" priority="539" operator="lessThanOrEqual">
      <formula>I31</formula>
    </cfRule>
  </conditionalFormatting>
  <conditionalFormatting sqref="AG34">
    <cfRule type="cellIs" dxfId="4" priority="544" operator="lessThanOrEqual">
      <formula>I34</formula>
    </cfRule>
  </conditionalFormatting>
  <conditionalFormatting sqref="AG35">
    <cfRule type="cellIs" dxfId="4" priority="549" operator="lessThanOrEqual">
      <formula>I35</formula>
    </cfRule>
  </conditionalFormatting>
  <conditionalFormatting sqref="AG7">
    <cfRule type="cellIs" dxfId="4" priority="434" operator="lessThanOrEqual">
      <formula>I7</formula>
    </cfRule>
  </conditionalFormatting>
  <conditionalFormatting sqref="AG8">
    <cfRule type="cellIs" dxfId="4" priority="439" operator="lessThanOrEqual">
      <formula>I8</formula>
    </cfRule>
  </conditionalFormatting>
  <conditionalFormatting sqref="AG9">
    <cfRule type="cellIs" dxfId="4" priority="444" operator="lessThanOrEqual">
      <formula>I9</formula>
    </cfRule>
  </conditionalFormatting>
  <conditionalFormatting sqref="AH10">
    <cfRule type="cellIs" dxfId="4" priority="448" operator="lessThanOrEqual">
      <formula>J10</formula>
    </cfRule>
  </conditionalFormatting>
  <conditionalFormatting sqref="AH11">
    <cfRule type="cellIs" dxfId="4" priority="453" operator="lessThanOrEqual">
      <formula>J11</formula>
    </cfRule>
  </conditionalFormatting>
  <conditionalFormatting sqref="AH12">
    <cfRule type="cellIs" dxfId="4" priority="458" operator="lessThanOrEqual">
      <formula>J12</formula>
    </cfRule>
  </conditionalFormatting>
  <conditionalFormatting sqref="AH13">
    <cfRule type="cellIs" dxfId="4" priority="463" operator="lessThanOrEqual">
      <formula>J13</formula>
    </cfRule>
  </conditionalFormatting>
  <conditionalFormatting sqref="AH14">
    <cfRule type="cellIs" dxfId="4" priority="468" operator="lessThanOrEqual">
      <formula>J14</formula>
    </cfRule>
  </conditionalFormatting>
  <conditionalFormatting sqref="AH15">
    <cfRule type="cellIs" dxfId="4" priority="473" operator="lessThanOrEqual">
      <formula>J15</formula>
    </cfRule>
  </conditionalFormatting>
  <conditionalFormatting sqref="AH19">
    <cfRule type="cellIs" dxfId="4" priority="478" operator="lessThanOrEqual">
      <formula>J19</formula>
    </cfRule>
  </conditionalFormatting>
  <conditionalFormatting sqref="AH20">
    <cfRule type="cellIs" dxfId="4" priority="483" operator="lessThanOrEqual">
      <formula>J20</formula>
    </cfRule>
  </conditionalFormatting>
  <conditionalFormatting sqref="AH21">
    <cfRule type="cellIs" dxfId="4" priority="488" operator="lessThanOrEqual">
      <formula>J21</formula>
    </cfRule>
  </conditionalFormatting>
  <conditionalFormatting sqref="AH22">
    <cfRule type="cellIs" dxfId="4" priority="493" operator="lessThanOrEqual">
      <formula>J22</formula>
    </cfRule>
  </conditionalFormatting>
  <conditionalFormatting sqref="AH23">
    <cfRule type="cellIs" dxfId="4" priority="498" operator="lessThanOrEqual">
      <formula>J23</formula>
    </cfRule>
  </conditionalFormatting>
  <conditionalFormatting sqref="AH24">
    <cfRule type="cellIs" dxfId="4" priority="503" operator="lessThanOrEqual">
      <formula>J24</formula>
    </cfRule>
  </conditionalFormatting>
  <conditionalFormatting sqref="AH25">
    <cfRule type="cellIs" dxfId="4" priority="508" operator="lessThanOrEqual">
      <formula>J25</formula>
    </cfRule>
  </conditionalFormatting>
  <conditionalFormatting sqref="AH26">
    <cfRule type="cellIs" dxfId="4" priority="513" operator="lessThanOrEqual">
      <formula>J26</formula>
    </cfRule>
  </conditionalFormatting>
  <conditionalFormatting sqref="AH27">
    <cfRule type="cellIs" dxfId="4" priority="518" operator="lessThanOrEqual">
      <formula>J27</formula>
    </cfRule>
  </conditionalFormatting>
  <conditionalFormatting sqref="AH28">
    <cfRule type="cellIs" dxfId="4" priority="523" operator="lessThanOrEqual">
      <formula>J28</formula>
    </cfRule>
  </conditionalFormatting>
  <conditionalFormatting sqref="AH29">
    <cfRule type="cellIs" dxfId="4" priority="528" operator="lessThanOrEqual">
      <formula>J29</formula>
    </cfRule>
  </conditionalFormatting>
  <conditionalFormatting sqref="AH30">
    <cfRule type="cellIs" dxfId="4" priority="533" operator="lessThanOrEqual">
      <formula>J30</formula>
    </cfRule>
  </conditionalFormatting>
  <conditionalFormatting sqref="AH31">
    <cfRule type="cellIs" dxfId="4" priority="538" operator="lessThanOrEqual">
      <formula>J31</formula>
    </cfRule>
  </conditionalFormatting>
  <conditionalFormatting sqref="AH34">
    <cfRule type="cellIs" dxfId="4" priority="543" operator="lessThanOrEqual">
      <formula>J34</formula>
    </cfRule>
  </conditionalFormatting>
  <conditionalFormatting sqref="AH35">
    <cfRule type="cellIs" dxfId="4" priority="548" operator="lessThanOrEqual">
      <formula>J35</formula>
    </cfRule>
  </conditionalFormatting>
  <conditionalFormatting sqref="AH7">
    <cfRule type="cellIs" dxfId="4" priority="433" operator="lessThanOrEqual">
      <formula>J7</formula>
    </cfRule>
  </conditionalFormatting>
  <conditionalFormatting sqref="AH8">
    <cfRule type="cellIs" dxfId="4" priority="438" operator="lessThanOrEqual">
      <formula>J8</formula>
    </cfRule>
  </conditionalFormatting>
  <conditionalFormatting sqref="AH9">
    <cfRule type="cellIs" dxfId="4" priority="443" operator="lessThanOrEqual">
      <formula>J9</formula>
    </cfRule>
  </conditionalFormatting>
  <conditionalFormatting sqref="AJ10">
    <cfRule type="cellIs" dxfId="1" priority="568" operator="equal">
      <formula>0</formula>
    </cfRule>
    <cfRule type="cellIs" dxfId="2" priority="569" operator="lessThan">
      <formula>H10</formula>
    </cfRule>
  </conditionalFormatting>
  <conditionalFormatting sqref="AJ11">
    <cfRule type="cellIs" dxfId="1" priority="574" operator="equal">
      <formula>0</formula>
    </cfRule>
    <cfRule type="cellIs" dxfId="2" priority="575" operator="lessThan">
      <formula>H11</formula>
    </cfRule>
  </conditionalFormatting>
  <conditionalFormatting sqref="AJ12">
    <cfRule type="cellIs" dxfId="1" priority="580" operator="equal">
      <formula>0</formula>
    </cfRule>
    <cfRule type="cellIs" dxfId="2" priority="581" operator="lessThan">
      <formula>H12</formula>
    </cfRule>
  </conditionalFormatting>
  <conditionalFormatting sqref="AJ13">
    <cfRule type="cellIs" dxfId="1" priority="586" operator="equal">
      <formula>0</formula>
    </cfRule>
    <cfRule type="cellIs" dxfId="2" priority="587" operator="lessThan">
      <formula>H13</formula>
    </cfRule>
  </conditionalFormatting>
  <conditionalFormatting sqref="AJ15">
    <cfRule type="cellIs" dxfId="1" priority="592" operator="equal">
      <formula>0</formula>
    </cfRule>
    <cfRule type="cellIs" dxfId="2" priority="593" operator="lessThan">
      <formula>H15</formula>
    </cfRule>
  </conditionalFormatting>
  <conditionalFormatting sqref="AJ26">
    <cfRule type="cellIs" dxfId="1" priority="597" operator="equal">
      <formula>0</formula>
    </cfRule>
    <cfRule type="cellIs" dxfId="2" priority="598" operator="lessThan">
      <formula>H26</formula>
    </cfRule>
  </conditionalFormatting>
  <conditionalFormatting sqref="AJ27">
    <cfRule type="cellIs" dxfId="1" priority="602" operator="equal">
      <formula>0</formula>
    </cfRule>
    <cfRule type="cellIs" dxfId="2" priority="603" operator="lessThan">
      <formula>H27</formula>
    </cfRule>
  </conditionalFormatting>
  <conditionalFormatting sqref="AJ28">
    <cfRule type="cellIs" dxfId="1" priority="608" operator="equal">
      <formula>0</formula>
    </cfRule>
    <cfRule type="cellIs" dxfId="2" priority="609" operator="lessThan">
      <formula>H28</formula>
    </cfRule>
  </conditionalFormatting>
  <conditionalFormatting sqref="AJ30">
    <cfRule type="cellIs" dxfId="1" priority="614" operator="equal">
      <formula>0</formula>
    </cfRule>
    <cfRule type="cellIs" dxfId="2" priority="615" operator="lessThan">
      <formula>H30</formula>
    </cfRule>
  </conditionalFormatting>
  <conditionalFormatting sqref="AJ31">
    <cfRule type="cellIs" dxfId="1" priority="619" operator="equal">
      <formula>0</formula>
    </cfRule>
    <cfRule type="cellIs" dxfId="2" priority="620" operator="lessThan">
      <formula>H31</formula>
    </cfRule>
  </conditionalFormatting>
  <conditionalFormatting sqref="AJ7">
    <cfRule type="cellIs" dxfId="1" priority="550" operator="equal">
      <formula>0</formula>
    </cfRule>
    <cfRule type="cellIs" dxfId="2" priority="551" operator="lessThan">
      <formula>H7</formula>
    </cfRule>
  </conditionalFormatting>
  <conditionalFormatting sqref="AJ8">
    <cfRule type="cellIs" dxfId="1" priority="556" operator="equal">
      <formula>0</formula>
    </cfRule>
    <cfRule type="cellIs" dxfId="2" priority="557" operator="lessThan">
      <formula>H8</formula>
    </cfRule>
  </conditionalFormatting>
  <conditionalFormatting sqref="AJ9">
    <cfRule type="cellIs" dxfId="1" priority="562" operator="equal">
      <formula>0</formula>
    </cfRule>
    <cfRule type="cellIs" dxfId="2" priority="563" operator="lessThan">
      <formula>H9</formula>
    </cfRule>
  </conditionalFormatting>
  <conditionalFormatting sqref="AK10">
    <cfRule type="expression" dxfId="3" priority="570">
      <formula>AND(AK10&gt;0,AK10&lt;10)</formula>
    </cfRule>
    <cfRule type="cellIs" dxfId="1" priority="571" operator="greaterThan">
      <formula>AJ10</formula>
    </cfRule>
  </conditionalFormatting>
  <conditionalFormatting sqref="AK11">
    <cfRule type="expression" dxfId="3" priority="576">
      <formula>AND(AK11&gt;0,AK11&lt;10)</formula>
    </cfRule>
    <cfRule type="cellIs" dxfId="1" priority="577" operator="greaterThan">
      <formula>AJ11</formula>
    </cfRule>
  </conditionalFormatting>
  <conditionalFormatting sqref="AK12">
    <cfRule type="expression" dxfId="3" priority="582">
      <formula>AND(AK12&gt;0,AK12&lt;10)</formula>
    </cfRule>
    <cfRule type="cellIs" dxfId="1" priority="583" operator="greaterThan">
      <formula>AJ12</formula>
    </cfRule>
  </conditionalFormatting>
  <conditionalFormatting sqref="AK13">
    <cfRule type="expression" dxfId="3" priority="588">
      <formula>AND(AK13&gt;0,AK13&lt;5)</formula>
    </cfRule>
    <cfRule type="cellIs" dxfId="1" priority="589" operator="greaterThan">
      <formula>AJ13</formula>
    </cfRule>
  </conditionalFormatting>
  <conditionalFormatting sqref="AK15">
    <cfRule type="cellIs" dxfId="1" priority="594" operator="greaterThan">
      <formula>AJ15</formula>
    </cfRule>
  </conditionalFormatting>
  <conditionalFormatting sqref="AK26">
    <cfRule type="cellIs" dxfId="1" priority="599" operator="greaterThan">
      <formula>AJ26</formula>
    </cfRule>
  </conditionalFormatting>
  <conditionalFormatting sqref="AK27">
    <cfRule type="expression" dxfId="3" priority="604">
      <formula>AND(AK27&gt;0,AK27&lt;5)</formula>
    </cfRule>
    <cfRule type="cellIs" dxfId="1" priority="605" operator="greaterThan">
      <formula>AJ27</formula>
    </cfRule>
  </conditionalFormatting>
  <conditionalFormatting sqref="AK28">
    <cfRule type="expression" dxfId="3" priority="610">
      <formula>AND(AK28&gt;0,AK28&lt;5)</formula>
    </cfRule>
    <cfRule type="cellIs" dxfId="1" priority="611" operator="greaterThan">
      <formula>AJ28</formula>
    </cfRule>
  </conditionalFormatting>
  <conditionalFormatting sqref="AK30">
    <cfRule type="cellIs" dxfId="1" priority="616" operator="greaterThan">
      <formula>AJ30</formula>
    </cfRule>
  </conditionalFormatting>
  <conditionalFormatting sqref="AK31">
    <cfRule type="expression" dxfId="3" priority="621">
      <formula>AND(AK31&gt;0,AK31&lt;5)</formula>
    </cfRule>
    <cfRule type="cellIs" dxfId="1" priority="622" operator="greaterThan">
      <formula>AJ31</formula>
    </cfRule>
  </conditionalFormatting>
  <conditionalFormatting sqref="AK7">
    <cfRule type="expression" dxfId="3" priority="552">
      <formula>AND(AK7&gt;0,AK7&lt;10)</formula>
    </cfRule>
    <cfRule type="cellIs" dxfId="1" priority="553" operator="greaterThan">
      <formula>AJ7</formula>
    </cfRule>
  </conditionalFormatting>
  <conditionalFormatting sqref="AK8">
    <cfRule type="expression" dxfId="3" priority="558">
      <formula>AND(AK8&gt;0,AK8&lt;10)</formula>
    </cfRule>
    <cfRule type="cellIs" dxfId="1" priority="559" operator="greaterThan">
      <formula>AJ8</formula>
    </cfRule>
  </conditionalFormatting>
  <conditionalFormatting sqref="AK9">
    <cfRule type="expression" dxfId="3" priority="564">
      <formula>AND(AK9&gt;0,AK9&lt;10)</formula>
    </cfRule>
    <cfRule type="cellIs" dxfId="1" priority="565" operator="greaterThan">
      <formula>AJ9</formula>
    </cfRule>
  </conditionalFormatting>
  <conditionalFormatting sqref="AL10">
    <cfRule type="cellIs" dxfId="4" priority="573" operator="lessThanOrEqual">
      <formula>I10</formula>
    </cfRule>
  </conditionalFormatting>
  <conditionalFormatting sqref="AL11">
    <cfRule type="cellIs" dxfId="4" priority="579" operator="lessThanOrEqual">
      <formula>I11</formula>
    </cfRule>
  </conditionalFormatting>
  <conditionalFormatting sqref="AL12">
    <cfRule type="cellIs" dxfId="4" priority="585" operator="lessThanOrEqual">
      <formula>I12</formula>
    </cfRule>
  </conditionalFormatting>
  <conditionalFormatting sqref="AL13">
    <cfRule type="cellIs" dxfId="4" priority="591" operator="lessThanOrEqual">
      <formula>I13</formula>
    </cfRule>
  </conditionalFormatting>
  <conditionalFormatting sqref="AL15">
    <cfRule type="cellIs" dxfId="4" priority="596" operator="lessThanOrEqual">
      <formula>I15</formula>
    </cfRule>
  </conditionalFormatting>
  <conditionalFormatting sqref="AL26">
    <cfRule type="cellIs" dxfId="4" priority="601" operator="lessThanOrEqual">
      <formula>I26</formula>
    </cfRule>
  </conditionalFormatting>
  <conditionalFormatting sqref="AL27">
    <cfRule type="cellIs" dxfId="4" priority="607" operator="lessThanOrEqual">
      <formula>I27</formula>
    </cfRule>
  </conditionalFormatting>
  <conditionalFormatting sqref="AL28">
    <cfRule type="cellIs" dxfId="4" priority="613" operator="lessThanOrEqual">
      <formula>I28</formula>
    </cfRule>
  </conditionalFormatting>
  <conditionalFormatting sqref="AL30">
    <cfRule type="cellIs" dxfId="4" priority="618" operator="lessThanOrEqual">
      <formula>I30</formula>
    </cfRule>
  </conditionalFormatting>
  <conditionalFormatting sqref="AL31">
    <cfRule type="cellIs" dxfId="4" priority="624" operator="lessThanOrEqual">
      <formula>I31</formula>
    </cfRule>
  </conditionalFormatting>
  <conditionalFormatting sqref="AL7">
    <cfRule type="cellIs" dxfId="4" priority="555" operator="lessThanOrEqual">
      <formula>I7</formula>
    </cfRule>
  </conditionalFormatting>
  <conditionalFormatting sqref="AL8">
    <cfRule type="cellIs" dxfId="4" priority="561" operator="lessThanOrEqual">
      <formula>I8</formula>
    </cfRule>
  </conditionalFormatting>
  <conditionalFormatting sqref="AL9">
    <cfRule type="cellIs" dxfId="4" priority="567" operator="lessThanOrEqual">
      <formula>I9</formula>
    </cfRule>
  </conditionalFormatting>
  <conditionalFormatting sqref="AM10">
    <cfRule type="cellIs" dxfId="4" priority="572" operator="lessThanOrEqual">
      <formula>J10</formula>
    </cfRule>
  </conditionalFormatting>
  <conditionalFormatting sqref="AM11">
    <cfRule type="cellIs" dxfId="4" priority="578" operator="lessThanOrEqual">
      <formula>J11</formula>
    </cfRule>
  </conditionalFormatting>
  <conditionalFormatting sqref="AM12">
    <cfRule type="cellIs" dxfId="4" priority="584" operator="lessThanOrEqual">
      <formula>J12</formula>
    </cfRule>
  </conditionalFormatting>
  <conditionalFormatting sqref="AM13">
    <cfRule type="cellIs" dxfId="4" priority="590" operator="lessThanOrEqual">
      <formula>J13</formula>
    </cfRule>
  </conditionalFormatting>
  <conditionalFormatting sqref="AM15">
    <cfRule type="cellIs" dxfId="4" priority="595" operator="lessThanOrEqual">
      <formula>J15</formula>
    </cfRule>
  </conditionalFormatting>
  <conditionalFormatting sqref="AM26">
    <cfRule type="cellIs" dxfId="4" priority="600" operator="lessThanOrEqual">
      <formula>J26</formula>
    </cfRule>
  </conditionalFormatting>
  <conditionalFormatting sqref="AM27">
    <cfRule type="cellIs" dxfId="4" priority="606" operator="lessThanOrEqual">
      <formula>J27</formula>
    </cfRule>
  </conditionalFormatting>
  <conditionalFormatting sqref="AM28">
    <cfRule type="cellIs" dxfId="4" priority="612" operator="lessThanOrEqual">
      <formula>J28</formula>
    </cfRule>
  </conditionalFormatting>
  <conditionalFormatting sqref="AM30">
    <cfRule type="cellIs" dxfId="4" priority="617" operator="lessThanOrEqual">
      <formula>J30</formula>
    </cfRule>
  </conditionalFormatting>
  <conditionalFormatting sqref="AM31">
    <cfRule type="cellIs" dxfId="4" priority="623" operator="lessThanOrEqual">
      <formula>J31</formula>
    </cfRule>
  </conditionalFormatting>
  <conditionalFormatting sqref="AM7">
    <cfRule type="cellIs" dxfId="4" priority="554" operator="lessThanOrEqual">
      <formula>J7</formula>
    </cfRule>
  </conditionalFormatting>
  <conditionalFormatting sqref="AM8">
    <cfRule type="cellIs" dxfId="4" priority="560" operator="lessThanOrEqual">
      <formula>J8</formula>
    </cfRule>
  </conditionalFormatting>
  <conditionalFormatting sqref="AM9">
    <cfRule type="cellIs" dxfId="4" priority="566" operator="lessThanOrEqual">
      <formula>J9</formula>
    </cfRule>
  </conditionalFormatting>
  <conditionalFormatting sqref="AO12">
    <cfRule type="cellIs" dxfId="1" priority="625" operator="equal">
      <formula>0</formula>
    </cfRule>
    <cfRule type="cellIs" dxfId="2" priority="626" operator="lessThan">
      <formula>H12</formula>
    </cfRule>
  </conditionalFormatting>
  <conditionalFormatting sqref="AO20">
    <cfRule type="cellIs" dxfId="1" priority="631" operator="equal">
      <formula>0</formula>
    </cfRule>
    <cfRule type="cellIs" dxfId="2" priority="632" operator="lessThan">
      <formula>H20</formula>
    </cfRule>
  </conditionalFormatting>
  <conditionalFormatting sqref="AO21">
    <cfRule type="cellIs" dxfId="1" priority="637" operator="equal">
      <formula>0</formula>
    </cfRule>
    <cfRule type="cellIs" dxfId="2" priority="638" operator="lessThan">
      <formula>H21</formula>
    </cfRule>
  </conditionalFormatting>
  <conditionalFormatting sqref="AO22">
    <cfRule type="cellIs" dxfId="1" priority="643" operator="equal">
      <formula>0</formula>
    </cfRule>
    <cfRule type="cellIs" dxfId="2" priority="644" operator="lessThan">
      <formula>H22</formula>
    </cfRule>
  </conditionalFormatting>
  <conditionalFormatting sqref="AO24">
    <cfRule type="cellIs" dxfId="1" priority="649" operator="equal">
      <formula>0</formula>
    </cfRule>
    <cfRule type="cellIs" dxfId="2" priority="650" operator="lessThan">
      <formula>H24</formula>
    </cfRule>
  </conditionalFormatting>
  <conditionalFormatting sqref="AO25">
    <cfRule type="cellIs" dxfId="1" priority="655" operator="equal">
      <formula>0</formula>
    </cfRule>
    <cfRule type="cellIs" dxfId="2" priority="656" operator="lessThan">
      <formula>H25</formula>
    </cfRule>
  </conditionalFormatting>
  <conditionalFormatting sqref="AO27">
    <cfRule type="cellIs" dxfId="1" priority="661" operator="equal">
      <formula>0</formula>
    </cfRule>
    <cfRule type="cellIs" dxfId="2" priority="662" operator="lessThan">
      <formula>H27</formula>
    </cfRule>
  </conditionalFormatting>
  <conditionalFormatting sqref="AO28">
    <cfRule type="cellIs" dxfId="1" priority="667" operator="equal">
      <formula>0</formula>
    </cfRule>
    <cfRule type="cellIs" dxfId="2" priority="668" operator="lessThan">
      <formula>H28</formula>
    </cfRule>
  </conditionalFormatting>
  <conditionalFormatting sqref="AO31">
    <cfRule type="cellIs" dxfId="1" priority="673" operator="equal">
      <formula>0</formula>
    </cfRule>
    <cfRule type="cellIs" dxfId="2" priority="674" operator="lessThan">
      <formula>H31</formula>
    </cfRule>
  </conditionalFormatting>
  <conditionalFormatting sqref="AP12">
    <cfRule type="expression" dxfId="3" priority="627">
      <formula>AND(AP12&gt;0,AP12&lt;15000)</formula>
    </cfRule>
    <cfRule type="cellIs" dxfId="1" priority="628" operator="greaterThan">
      <formula>AO12</formula>
    </cfRule>
  </conditionalFormatting>
  <conditionalFormatting sqref="AP20">
    <cfRule type="expression" dxfId="3" priority="633">
      <formula>AND(AP20&gt;0,AP20&lt;15000)</formula>
    </cfRule>
    <cfRule type="cellIs" dxfId="1" priority="634" operator="greaterThan">
      <formula>AO20</formula>
    </cfRule>
  </conditionalFormatting>
  <conditionalFormatting sqref="AP21">
    <cfRule type="expression" dxfId="3" priority="639">
      <formula>AND(AP21&gt;0,AP21&lt;15000)</formula>
    </cfRule>
    <cfRule type="cellIs" dxfId="1" priority="640" operator="greaterThan">
      <formula>AO21</formula>
    </cfRule>
  </conditionalFormatting>
  <conditionalFormatting sqref="AP22">
    <cfRule type="expression" dxfId="3" priority="645">
      <formula>AND(AP22&gt;0,AP22&lt;15000)</formula>
    </cfRule>
    <cfRule type="cellIs" dxfId="1" priority="646" operator="greaterThan">
      <formula>AO22</formula>
    </cfRule>
  </conditionalFormatting>
  <conditionalFormatting sqref="AP24">
    <cfRule type="expression" dxfId="3" priority="651">
      <formula>AND(AP24&gt;0,AP24&lt;15000)</formula>
    </cfRule>
    <cfRule type="cellIs" dxfId="1" priority="652" operator="greaterThan">
      <formula>AO24</formula>
    </cfRule>
  </conditionalFormatting>
  <conditionalFormatting sqref="AP25">
    <cfRule type="expression" dxfId="3" priority="657">
      <formula>AND(AP25&gt;0,AP25&lt;15000)</formula>
    </cfRule>
    <cfRule type="cellIs" dxfId="1" priority="658" operator="greaterThan">
      <formula>AO25</formula>
    </cfRule>
  </conditionalFormatting>
  <conditionalFormatting sqref="AP27">
    <cfRule type="expression" dxfId="3" priority="663">
      <formula>AND(AP27&gt;0,AP27&lt;5000)</formula>
    </cfRule>
    <cfRule type="cellIs" dxfId="1" priority="664" operator="greaterThan">
      <formula>AO27</formula>
    </cfRule>
  </conditionalFormatting>
  <conditionalFormatting sqref="AP28">
    <cfRule type="expression" dxfId="3" priority="669">
      <formula>AND(AP28&gt;0,AP28&lt;5000)</formula>
    </cfRule>
    <cfRule type="cellIs" dxfId="1" priority="670" operator="greaterThan">
      <formula>AO28</formula>
    </cfRule>
  </conditionalFormatting>
  <conditionalFormatting sqref="AP31">
    <cfRule type="expression" dxfId="3" priority="675">
      <formula>AND(AP31&gt;0,AP31&lt;50)</formula>
    </cfRule>
    <cfRule type="cellIs" dxfId="1" priority="676" operator="greaterThan">
      <formula>AO31</formula>
    </cfRule>
  </conditionalFormatting>
  <conditionalFormatting sqref="AQ12">
    <cfRule type="cellIs" dxfId="4" priority="630" operator="lessThanOrEqual">
      <formula>I12</formula>
    </cfRule>
  </conditionalFormatting>
  <conditionalFormatting sqref="AQ20">
    <cfRule type="cellIs" dxfId="4" priority="636" operator="lessThanOrEqual">
      <formula>I20</formula>
    </cfRule>
  </conditionalFormatting>
  <conditionalFormatting sqref="AQ21">
    <cfRule type="cellIs" dxfId="4" priority="642" operator="lessThanOrEqual">
      <formula>I21</formula>
    </cfRule>
  </conditionalFormatting>
  <conditionalFormatting sqref="AQ22">
    <cfRule type="cellIs" dxfId="4" priority="648" operator="lessThanOrEqual">
      <formula>I22</formula>
    </cfRule>
  </conditionalFormatting>
  <conditionalFormatting sqref="AQ24">
    <cfRule type="cellIs" dxfId="4" priority="654" operator="lessThanOrEqual">
      <formula>I24</formula>
    </cfRule>
  </conditionalFormatting>
  <conditionalFormatting sqref="AQ25">
    <cfRule type="cellIs" dxfId="4" priority="660" operator="lessThanOrEqual">
      <formula>I25</formula>
    </cfRule>
  </conditionalFormatting>
  <conditionalFormatting sqref="AQ27">
    <cfRule type="cellIs" dxfId="4" priority="666" operator="lessThanOrEqual">
      <formula>I27</formula>
    </cfRule>
  </conditionalFormatting>
  <conditionalFormatting sqref="AQ28">
    <cfRule type="cellIs" dxfId="4" priority="672" operator="lessThanOrEqual">
      <formula>I28</formula>
    </cfRule>
  </conditionalFormatting>
  <conditionalFormatting sqref="AQ31">
    <cfRule type="cellIs" dxfId="4" priority="678" operator="lessThanOrEqual">
      <formula>I31</formula>
    </cfRule>
  </conditionalFormatting>
  <conditionalFormatting sqref="AR12">
    <cfRule type="cellIs" dxfId="4" priority="629" operator="lessThanOrEqual">
      <formula>J12</formula>
    </cfRule>
  </conditionalFormatting>
  <conditionalFormatting sqref="AR20">
    <cfRule type="cellIs" dxfId="4" priority="635" operator="lessThanOrEqual">
      <formula>J20</formula>
    </cfRule>
  </conditionalFormatting>
  <conditionalFormatting sqref="AR21">
    <cfRule type="cellIs" dxfId="4" priority="641" operator="lessThanOrEqual">
      <formula>J21</formula>
    </cfRule>
  </conditionalFormatting>
  <conditionalFormatting sqref="AR22">
    <cfRule type="cellIs" dxfId="4" priority="647" operator="lessThanOrEqual">
      <formula>J22</formula>
    </cfRule>
  </conditionalFormatting>
  <conditionalFormatting sqref="AR24">
    <cfRule type="cellIs" dxfId="4" priority="653" operator="lessThanOrEqual">
      <formula>J24</formula>
    </cfRule>
  </conditionalFormatting>
  <conditionalFormatting sqref="AR25">
    <cfRule type="cellIs" dxfId="4" priority="659" operator="lessThanOrEqual">
      <formula>J25</formula>
    </cfRule>
  </conditionalFormatting>
  <conditionalFormatting sqref="AR27">
    <cfRule type="cellIs" dxfId="4" priority="665" operator="lessThanOrEqual">
      <formula>J27</formula>
    </cfRule>
  </conditionalFormatting>
  <conditionalFormatting sqref="AR28">
    <cfRule type="cellIs" dxfId="4" priority="671" operator="lessThanOrEqual">
      <formula>J28</formula>
    </cfRule>
  </conditionalFormatting>
  <conditionalFormatting sqref="AR31">
    <cfRule type="cellIs" dxfId="4" priority="677" operator="lessThanOrEqual">
      <formula>J31</formula>
    </cfRule>
  </conditionalFormatting>
  <conditionalFormatting sqref="AT14">
    <cfRule type="cellIs" dxfId="1" priority="679" operator="equal">
      <formula>0</formula>
    </cfRule>
    <cfRule type="cellIs" dxfId="2" priority="680" operator="lessThan">
      <formula>H14</formula>
    </cfRule>
  </conditionalFormatting>
  <conditionalFormatting sqref="AT15">
    <cfRule type="cellIs" dxfId="1" priority="685" operator="equal">
      <formula>0</formula>
    </cfRule>
    <cfRule type="cellIs" dxfId="2" priority="686" operator="lessThan">
      <formula>H15</formula>
    </cfRule>
  </conditionalFormatting>
  <conditionalFormatting sqref="AT26">
    <cfRule type="cellIs" dxfId="1" priority="691" operator="equal">
      <formula>0</formula>
    </cfRule>
    <cfRule type="cellIs" dxfId="2" priority="692" operator="lessThan">
      <formula>H26</formula>
    </cfRule>
  </conditionalFormatting>
  <conditionalFormatting sqref="AT31">
    <cfRule type="cellIs" dxfId="1" priority="697" operator="equal">
      <formula>0</formula>
    </cfRule>
    <cfRule type="cellIs" dxfId="2" priority="698" operator="lessThan">
      <formula>H31</formula>
    </cfRule>
  </conditionalFormatting>
  <conditionalFormatting sqref="AU14">
    <cfRule type="expression" dxfId="3" priority="681">
      <formula>AND(AU14&gt;0,AU14&lt;5)</formula>
    </cfRule>
    <cfRule type="cellIs" dxfId="1" priority="682" operator="greaterThan">
      <formula>AT14</formula>
    </cfRule>
  </conditionalFormatting>
  <conditionalFormatting sqref="AU15">
    <cfRule type="expression" dxfId="3" priority="687">
      <formula>AND(AU15&gt;0,AU15&lt;5)</formula>
    </cfRule>
    <cfRule type="cellIs" dxfId="1" priority="688" operator="greaterThan">
      <formula>AT15</formula>
    </cfRule>
  </conditionalFormatting>
  <conditionalFormatting sqref="AU26">
    <cfRule type="expression" dxfId="3" priority="693">
      <formula>AND(AU26&gt;0,AU26&lt;5)</formula>
    </cfRule>
    <cfRule type="cellIs" dxfId="1" priority="694" operator="greaterThan">
      <formula>AT26</formula>
    </cfRule>
  </conditionalFormatting>
  <conditionalFormatting sqref="AU31">
    <cfRule type="expression" dxfId="3" priority="699">
      <formula>AND(AU31&gt;0,AU31&lt;5)</formula>
    </cfRule>
    <cfRule type="cellIs" dxfId="1" priority="700" operator="greaterThan">
      <formula>AT31</formula>
    </cfRule>
  </conditionalFormatting>
  <conditionalFormatting sqref="AV14">
    <cfRule type="cellIs" dxfId="4" priority="684" operator="lessThanOrEqual">
      <formula>I14</formula>
    </cfRule>
  </conditionalFormatting>
  <conditionalFormatting sqref="AV15">
    <cfRule type="cellIs" dxfId="4" priority="690" operator="lessThanOrEqual">
      <formula>I15</formula>
    </cfRule>
  </conditionalFormatting>
  <conditionalFormatting sqref="AV26">
    <cfRule type="cellIs" dxfId="4" priority="696" operator="lessThanOrEqual">
      <formula>I26</formula>
    </cfRule>
  </conditionalFormatting>
  <conditionalFormatting sqref="AV31">
    <cfRule type="cellIs" dxfId="4" priority="702" operator="lessThanOrEqual">
      <formula>I31</formula>
    </cfRule>
  </conditionalFormatting>
  <conditionalFormatting sqref="AW14">
    <cfRule type="cellIs" dxfId="4" priority="683" operator="lessThanOrEqual">
      <formula>J14</formula>
    </cfRule>
  </conditionalFormatting>
  <conditionalFormatting sqref="AW15">
    <cfRule type="cellIs" dxfId="4" priority="689" operator="lessThanOrEqual">
      <formula>J15</formula>
    </cfRule>
  </conditionalFormatting>
  <conditionalFormatting sqref="AW26">
    <cfRule type="cellIs" dxfId="4" priority="695" operator="lessThanOrEqual">
      <formula>J26</formula>
    </cfRule>
  </conditionalFormatting>
  <conditionalFormatting sqref="AW31">
    <cfRule type="cellIs" dxfId="4" priority="701" operator="lessThanOrEqual">
      <formula>J31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32" operator="equal">
      <formula>0</formula>
    </cfRule>
    <cfRule type="cellIs" dxfId="2" priority="133" operator="lessThan">
      <formula>H10</formula>
    </cfRule>
  </conditionalFormatting>
  <conditionalFormatting sqref="P11">
    <cfRule type="cellIs" dxfId="1" priority="137" operator="equal">
      <formula>0</formula>
    </cfRule>
    <cfRule type="cellIs" dxfId="2" priority="138" operator="lessThan">
      <formula>H11</formula>
    </cfRule>
  </conditionalFormatting>
  <conditionalFormatting sqref="P12">
    <cfRule type="cellIs" dxfId="1" priority="142" operator="equal">
      <formula>0</formula>
    </cfRule>
    <cfRule type="cellIs" dxfId="2" priority="143" operator="lessThan">
      <formula>H12</formula>
    </cfRule>
  </conditionalFormatting>
  <conditionalFormatting sqref="P13">
    <cfRule type="cellIs" dxfId="1" priority="147" operator="equal">
      <formula>0</formula>
    </cfRule>
    <cfRule type="cellIs" dxfId="2" priority="148" operator="lessThan">
      <formula>H13</formula>
    </cfRule>
  </conditionalFormatting>
  <conditionalFormatting sqref="P14">
    <cfRule type="cellIs" dxfId="1" priority="152" operator="equal">
      <formula>0</formula>
    </cfRule>
    <cfRule type="cellIs" dxfId="2" priority="153" operator="lessThan">
      <formula>H14</formula>
    </cfRule>
  </conditionalFormatting>
  <conditionalFormatting sqref="P15">
    <cfRule type="cellIs" dxfId="1" priority="157" operator="equal">
      <formula>0</formula>
    </cfRule>
    <cfRule type="cellIs" dxfId="2" priority="158" operator="lessThan">
      <formula>H15</formula>
    </cfRule>
  </conditionalFormatting>
  <conditionalFormatting sqref="P16">
    <cfRule type="cellIs" dxfId="1" priority="162" operator="equal">
      <formula>0</formula>
    </cfRule>
    <cfRule type="cellIs" dxfId="2" priority="163" operator="lessThan">
      <formula>H16</formula>
    </cfRule>
  </conditionalFormatting>
  <conditionalFormatting sqref="P17">
    <cfRule type="cellIs" dxfId="1" priority="167" operator="equal">
      <formula>0</formula>
    </cfRule>
    <cfRule type="cellIs" dxfId="2" priority="168" operator="lessThan">
      <formula>H17</formula>
    </cfRule>
  </conditionalFormatting>
  <conditionalFormatting sqref="P19">
    <cfRule type="cellIs" dxfId="1" priority="172" operator="equal">
      <formula>0</formula>
    </cfRule>
    <cfRule type="cellIs" dxfId="2" priority="173" operator="lessThan">
      <formula>H19</formula>
    </cfRule>
  </conditionalFormatting>
  <conditionalFormatting sqref="P20">
    <cfRule type="cellIs" dxfId="1" priority="178" operator="equal">
      <formula>0</formula>
    </cfRule>
    <cfRule type="cellIs" dxfId="2" priority="179" operator="lessThan">
      <formula>H20</formula>
    </cfRule>
  </conditionalFormatting>
  <conditionalFormatting sqref="P21">
    <cfRule type="cellIs" dxfId="1" priority="183" operator="equal">
      <formula>0</formula>
    </cfRule>
    <cfRule type="cellIs" dxfId="2" priority="184" operator="lessThan">
      <formula>H21</formula>
    </cfRule>
  </conditionalFormatting>
  <conditionalFormatting sqref="P22">
    <cfRule type="cellIs" dxfId="1" priority="188" operator="equal">
      <formula>0</formula>
    </cfRule>
    <cfRule type="cellIs" dxfId="2" priority="189" operator="lessThan">
      <formula>H22</formula>
    </cfRule>
  </conditionalFormatting>
  <conditionalFormatting sqref="P23">
    <cfRule type="cellIs" dxfId="1" priority="193" operator="equal">
      <formula>0</formula>
    </cfRule>
    <cfRule type="cellIs" dxfId="2" priority="194" operator="lessThan">
      <formula>H23</formula>
    </cfRule>
  </conditionalFormatting>
  <conditionalFormatting sqref="P24">
    <cfRule type="cellIs" dxfId="1" priority="198" operator="equal">
      <formula>0</formula>
    </cfRule>
    <cfRule type="cellIs" dxfId="2" priority="199" operator="lessThan">
      <formula>H24</formula>
    </cfRule>
  </conditionalFormatting>
  <conditionalFormatting sqref="P25">
    <cfRule type="cellIs" dxfId="1" priority="203" operator="equal">
      <formula>0</formula>
    </cfRule>
    <cfRule type="cellIs" dxfId="2" priority="204" operator="lessThan">
      <formula>H25</formula>
    </cfRule>
  </conditionalFormatting>
  <conditionalFormatting sqref="P26">
    <cfRule type="cellIs" dxfId="1" priority="208" operator="equal">
      <formula>0</formula>
    </cfRule>
    <cfRule type="cellIs" dxfId="2" priority="209" operator="lessThan">
      <formula>H26</formula>
    </cfRule>
  </conditionalFormatting>
  <conditionalFormatting sqref="P27">
    <cfRule type="cellIs" dxfId="1" priority="213" operator="equal">
      <formula>0</formula>
    </cfRule>
    <cfRule type="cellIs" dxfId="2" priority="214" operator="lessThan">
      <formula>H27</formula>
    </cfRule>
  </conditionalFormatting>
  <conditionalFormatting sqref="P28">
    <cfRule type="cellIs" dxfId="1" priority="218" operator="equal">
      <formula>0</formula>
    </cfRule>
    <cfRule type="cellIs" dxfId="2" priority="219" operator="lessThan">
      <formula>H28</formula>
    </cfRule>
  </conditionalFormatting>
  <conditionalFormatting sqref="P29">
    <cfRule type="cellIs" dxfId="1" priority="223" operator="equal">
      <formula>0</formula>
    </cfRule>
    <cfRule type="cellIs" dxfId="2" priority="224" operator="lessThan">
      <formula>H29</formula>
    </cfRule>
  </conditionalFormatting>
  <conditionalFormatting sqref="P30">
    <cfRule type="cellIs" dxfId="1" priority="229" operator="equal">
      <formula>0</formula>
    </cfRule>
    <cfRule type="cellIs" dxfId="2" priority="230" operator="lessThan">
      <formula>H30</formula>
    </cfRule>
  </conditionalFormatting>
  <conditionalFormatting sqref="P31">
    <cfRule type="cellIs" dxfId="1" priority="234" operator="equal">
      <formula>0</formula>
    </cfRule>
    <cfRule type="cellIs" dxfId="2" priority="235" operator="lessThan">
      <formula>H31</formula>
    </cfRule>
  </conditionalFormatting>
  <conditionalFormatting sqref="P33">
    <cfRule type="cellIs" dxfId="1" priority="239" operator="equal">
      <formula>0</formula>
    </cfRule>
    <cfRule type="cellIs" dxfId="2" priority="240" operator="lessThan">
      <formula>H33</formula>
    </cfRule>
  </conditionalFormatting>
  <conditionalFormatting sqref="P34">
    <cfRule type="cellIs" dxfId="1" priority="244" operator="equal">
      <formula>0</formula>
    </cfRule>
    <cfRule type="cellIs" dxfId="2" priority="245" operator="lessThan">
      <formula>H34</formula>
    </cfRule>
  </conditionalFormatting>
  <conditionalFormatting sqref="P7">
    <cfRule type="cellIs" dxfId="1" priority="117" operator="equal">
      <formula>0</formula>
    </cfRule>
    <cfRule type="cellIs" dxfId="2" priority="118" operator="lessThan">
      <formula>H7</formula>
    </cfRule>
  </conditionalFormatting>
  <conditionalFormatting sqref="P8">
    <cfRule type="cellIs" dxfId="1" priority="122" operator="equal">
      <formula>0</formula>
    </cfRule>
    <cfRule type="cellIs" dxfId="2" priority="123" operator="lessThan">
      <formula>H8</formula>
    </cfRule>
  </conditionalFormatting>
  <conditionalFormatting sqref="P9">
    <cfRule type="cellIs" dxfId="1" priority="127" operator="equal">
      <formula>0</formula>
    </cfRule>
    <cfRule type="cellIs" dxfId="2" priority="128" operator="lessThan">
      <formula>H9</formula>
    </cfRule>
  </conditionalFormatting>
  <conditionalFormatting sqref="Q10">
    <cfRule type="cellIs" dxfId="1" priority="134" operator="greaterThan">
      <formula>P10</formula>
    </cfRule>
  </conditionalFormatting>
  <conditionalFormatting sqref="Q11">
    <cfRule type="cellIs" dxfId="1" priority="139" operator="greaterThan">
      <formula>P11</formula>
    </cfRule>
  </conditionalFormatting>
  <conditionalFormatting sqref="Q12">
    <cfRule type="cellIs" dxfId="1" priority="144" operator="greaterThan">
      <formula>P12</formula>
    </cfRule>
  </conditionalFormatting>
  <conditionalFormatting sqref="Q13">
    <cfRule type="cellIs" dxfId="1" priority="149" operator="greaterThan">
      <formula>P13</formula>
    </cfRule>
  </conditionalFormatting>
  <conditionalFormatting sqref="Q14">
    <cfRule type="cellIs" dxfId="1" priority="154" operator="greaterThan">
      <formula>P14</formula>
    </cfRule>
  </conditionalFormatting>
  <conditionalFormatting sqref="Q15">
    <cfRule type="cellIs" dxfId="1" priority="159" operator="greaterThan">
      <formula>P15</formula>
    </cfRule>
  </conditionalFormatting>
  <conditionalFormatting sqref="Q16">
    <cfRule type="cellIs" dxfId="1" priority="164" operator="greaterThan">
      <formula>P16</formula>
    </cfRule>
  </conditionalFormatting>
  <conditionalFormatting sqref="Q17">
    <cfRule type="cellIs" dxfId="1" priority="169" operator="greaterThan">
      <formula>P17</formula>
    </cfRule>
  </conditionalFormatting>
  <conditionalFormatting sqref="Q19">
    <cfRule type="expression" dxfId="3" priority="174">
      <formula>AND(Q19&gt;0,Q19&lt;10000)</formula>
    </cfRule>
    <cfRule type="cellIs" dxfId="1" priority="175" operator="greaterThan">
      <formula>P19</formula>
    </cfRule>
  </conditionalFormatting>
  <conditionalFormatting sqref="Q20">
    <cfRule type="cellIs" dxfId="1" priority="180" operator="greaterThan">
      <formula>P20</formula>
    </cfRule>
  </conditionalFormatting>
  <conditionalFormatting sqref="Q21">
    <cfRule type="cellIs" dxfId="1" priority="185" operator="greaterThan">
      <formula>P21</formula>
    </cfRule>
  </conditionalFormatting>
  <conditionalFormatting sqref="Q22">
    <cfRule type="cellIs" dxfId="1" priority="190" operator="greaterThan">
      <formula>P22</formula>
    </cfRule>
  </conditionalFormatting>
  <conditionalFormatting sqref="Q23">
    <cfRule type="cellIs" dxfId="1" priority="195" operator="greaterThan">
      <formula>P23</formula>
    </cfRule>
  </conditionalFormatting>
  <conditionalFormatting sqref="Q24">
    <cfRule type="cellIs" dxfId="1" priority="200" operator="greaterThan">
      <formula>P24</formula>
    </cfRule>
  </conditionalFormatting>
  <conditionalFormatting sqref="Q25">
    <cfRule type="cellIs" dxfId="1" priority="205" operator="greaterThan">
      <formula>P25</formula>
    </cfRule>
  </conditionalFormatting>
  <conditionalFormatting sqref="Q26">
    <cfRule type="cellIs" dxfId="1" priority="210" operator="greaterThan">
      <formula>P26</formula>
    </cfRule>
  </conditionalFormatting>
  <conditionalFormatting sqref="Q27">
    <cfRule type="cellIs" dxfId="1" priority="215" operator="greaterThan">
      <formula>P27</formula>
    </cfRule>
  </conditionalFormatting>
  <conditionalFormatting sqref="Q28">
    <cfRule type="cellIs" dxfId="1" priority="220" operator="greaterThan">
      <formula>P28</formula>
    </cfRule>
  </conditionalFormatting>
  <conditionalFormatting sqref="Q29">
    <cfRule type="expression" dxfId="3" priority="225">
      <formula>AND(Q29&gt;0,Q29&lt;2000)</formula>
    </cfRule>
    <cfRule type="cellIs" dxfId="1" priority="226" operator="greaterThan">
      <formula>P29</formula>
    </cfRule>
  </conditionalFormatting>
  <conditionalFormatting sqref="Q30">
    <cfRule type="cellIs" dxfId="1" priority="231" operator="greaterThan">
      <formula>P30</formula>
    </cfRule>
  </conditionalFormatting>
  <conditionalFormatting sqref="Q31">
    <cfRule type="cellIs" dxfId="1" priority="236" operator="greaterThan">
      <formula>P31</formula>
    </cfRule>
  </conditionalFormatting>
  <conditionalFormatting sqref="Q33">
    <cfRule type="cellIs" dxfId="1" priority="241" operator="greaterThan">
      <formula>P33</formula>
    </cfRule>
  </conditionalFormatting>
  <conditionalFormatting sqref="Q34">
    <cfRule type="cellIs" dxfId="1" priority="246" operator="greaterThan">
      <formula>P34</formula>
    </cfRule>
  </conditionalFormatting>
  <conditionalFormatting sqref="Q7">
    <cfRule type="cellIs" dxfId="1" priority="119" operator="greaterThan">
      <formula>P7</formula>
    </cfRule>
  </conditionalFormatting>
  <conditionalFormatting sqref="Q8">
    <cfRule type="cellIs" dxfId="1" priority="124" operator="greaterThan">
      <formula>P8</formula>
    </cfRule>
  </conditionalFormatting>
  <conditionalFormatting sqref="Q9">
    <cfRule type="cellIs" dxfId="1" priority="129" operator="greaterThan">
      <formula>P9</formula>
    </cfRule>
  </conditionalFormatting>
  <conditionalFormatting sqref="R10">
    <cfRule type="cellIs" dxfId="4" priority="136" operator="lessThanOrEqual">
      <formula>I10</formula>
    </cfRule>
  </conditionalFormatting>
  <conditionalFormatting sqref="R11">
    <cfRule type="cellIs" dxfId="4" priority="141" operator="lessThanOrEqual">
      <formula>I11</formula>
    </cfRule>
  </conditionalFormatting>
  <conditionalFormatting sqref="R12">
    <cfRule type="cellIs" dxfId="4" priority="146" operator="lessThanOrEqual">
      <formula>I12</formula>
    </cfRule>
  </conditionalFormatting>
  <conditionalFormatting sqref="R13">
    <cfRule type="cellIs" dxfId="4" priority="151" operator="lessThanOrEqual">
      <formula>I13</formula>
    </cfRule>
  </conditionalFormatting>
  <conditionalFormatting sqref="R14">
    <cfRule type="cellIs" dxfId="4" priority="156" operator="lessThanOrEqual">
      <formula>I14</formula>
    </cfRule>
  </conditionalFormatting>
  <conditionalFormatting sqref="R15">
    <cfRule type="cellIs" dxfId="4" priority="161" operator="lessThanOrEqual">
      <formula>I15</formula>
    </cfRule>
  </conditionalFormatting>
  <conditionalFormatting sqref="R16">
    <cfRule type="cellIs" dxfId="4" priority="166" operator="lessThanOrEqual">
      <formula>I16</formula>
    </cfRule>
  </conditionalFormatting>
  <conditionalFormatting sqref="R17">
    <cfRule type="cellIs" dxfId="4" priority="171" operator="lessThanOrEqual">
      <formula>I17</formula>
    </cfRule>
  </conditionalFormatting>
  <conditionalFormatting sqref="R19">
    <cfRule type="cellIs" dxfId="4" priority="177" operator="lessThanOrEqual">
      <formula>I19</formula>
    </cfRule>
  </conditionalFormatting>
  <conditionalFormatting sqref="R20">
    <cfRule type="cellIs" dxfId="4" priority="182" operator="lessThanOrEqual">
      <formula>I20</formula>
    </cfRule>
  </conditionalFormatting>
  <conditionalFormatting sqref="R21">
    <cfRule type="cellIs" dxfId="4" priority="187" operator="lessThanOrEqual">
      <formula>I21</formula>
    </cfRule>
  </conditionalFormatting>
  <conditionalFormatting sqref="R22">
    <cfRule type="cellIs" dxfId="4" priority="192" operator="lessThanOrEqual">
      <formula>I22</formula>
    </cfRule>
  </conditionalFormatting>
  <conditionalFormatting sqref="R23">
    <cfRule type="cellIs" dxfId="4" priority="197" operator="lessThanOrEqual">
      <formula>I23</formula>
    </cfRule>
  </conditionalFormatting>
  <conditionalFormatting sqref="R24">
    <cfRule type="cellIs" dxfId="4" priority="202" operator="lessThanOrEqual">
      <formula>I24</formula>
    </cfRule>
  </conditionalFormatting>
  <conditionalFormatting sqref="R25">
    <cfRule type="cellIs" dxfId="4" priority="207" operator="lessThanOrEqual">
      <formula>I25</formula>
    </cfRule>
  </conditionalFormatting>
  <conditionalFormatting sqref="R26">
    <cfRule type="cellIs" dxfId="4" priority="212" operator="lessThanOrEqual">
      <formula>I26</formula>
    </cfRule>
  </conditionalFormatting>
  <conditionalFormatting sqref="R27">
    <cfRule type="cellIs" dxfId="4" priority="217" operator="lessThanOrEqual">
      <formula>I27</formula>
    </cfRule>
  </conditionalFormatting>
  <conditionalFormatting sqref="R28">
    <cfRule type="cellIs" dxfId="4" priority="222" operator="lessThanOrEqual">
      <formula>I28</formula>
    </cfRule>
  </conditionalFormatting>
  <conditionalFormatting sqref="R29">
    <cfRule type="cellIs" dxfId="4" priority="228" operator="lessThanOrEqual">
      <formula>I29</formula>
    </cfRule>
  </conditionalFormatting>
  <conditionalFormatting sqref="R30">
    <cfRule type="cellIs" dxfId="4" priority="233" operator="lessThanOrEqual">
      <formula>I30</formula>
    </cfRule>
  </conditionalFormatting>
  <conditionalFormatting sqref="R31">
    <cfRule type="cellIs" dxfId="4" priority="238" operator="lessThanOrEqual">
      <formula>I31</formula>
    </cfRule>
  </conditionalFormatting>
  <conditionalFormatting sqref="R33">
    <cfRule type="cellIs" dxfId="4" priority="243" operator="lessThanOrEqual">
      <formula>I33</formula>
    </cfRule>
  </conditionalFormatting>
  <conditionalFormatting sqref="R34">
    <cfRule type="cellIs" dxfId="4" priority="248" operator="lessThanOrEqual">
      <formula>I34</formula>
    </cfRule>
  </conditionalFormatting>
  <conditionalFormatting sqref="R7">
    <cfRule type="cellIs" dxfId="4" priority="121" operator="lessThanOrEqual">
      <formula>I7</formula>
    </cfRule>
  </conditionalFormatting>
  <conditionalFormatting sqref="R8">
    <cfRule type="cellIs" dxfId="4" priority="126" operator="lessThanOrEqual">
      <formula>I8</formula>
    </cfRule>
  </conditionalFormatting>
  <conditionalFormatting sqref="R9">
    <cfRule type="cellIs" dxfId="4" priority="131" operator="lessThanOrEqual">
      <formula>I9</formula>
    </cfRule>
  </conditionalFormatting>
  <conditionalFormatting sqref="S10">
    <cfRule type="cellIs" dxfId="4" priority="135" operator="lessThanOrEqual">
      <formula>J10</formula>
    </cfRule>
  </conditionalFormatting>
  <conditionalFormatting sqref="S11">
    <cfRule type="cellIs" dxfId="4" priority="140" operator="lessThanOrEqual">
      <formula>J11</formula>
    </cfRule>
  </conditionalFormatting>
  <conditionalFormatting sqref="S12">
    <cfRule type="cellIs" dxfId="4" priority="145" operator="lessThanOrEqual">
      <formula>J12</formula>
    </cfRule>
  </conditionalFormatting>
  <conditionalFormatting sqref="S13">
    <cfRule type="cellIs" dxfId="4" priority="150" operator="lessThanOrEqual">
      <formula>J13</formula>
    </cfRule>
  </conditionalFormatting>
  <conditionalFormatting sqref="S14">
    <cfRule type="cellIs" dxfId="4" priority="155" operator="lessThanOrEqual">
      <formula>J14</formula>
    </cfRule>
  </conditionalFormatting>
  <conditionalFormatting sqref="S15">
    <cfRule type="cellIs" dxfId="4" priority="160" operator="lessThanOrEqual">
      <formula>J15</formula>
    </cfRule>
  </conditionalFormatting>
  <conditionalFormatting sqref="S16">
    <cfRule type="cellIs" dxfId="4" priority="165" operator="lessThanOrEqual">
      <formula>J16</formula>
    </cfRule>
  </conditionalFormatting>
  <conditionalFormatting sqref="S17">
    <cfRule type="cellIs" dxfId="4" priority="170" operator="lessThanOrEqual">
      <formula>J17</formula>
    </cfRule>
  </conditionalFormatting>
  <conditionalFormatting sqref="S19">
    <cfRule type="cellIs" dxfId="4" priority="176" operator="lessThanOrEqual">
      <formula>J19</formula>
    </cfRule>
  </conditionalFormatting>
  <conditionalFormatting sqref="S20">
    <cfRule type="cellIs" dxfId="4" priority="181" operator="lessThanOrEqual">
      <formula>J20</formula>
    </cfRule>
  </conditionalFormatting>
  <conditionalFormatting sqref="S21">
    <cfRule type="cellIs" dxfId="4" priority="186" operator="lessThanOrEqual">
      <formula>J21</formula>
    </cfRule>
  </conditionalFormatting>
  <conditionalFormatting sqref="S22">
    <cfRule type="cellIs" dxfId="4" priority="191" operator="lessThanOrEqual">
      <formula>J22</formula>
    </cfRule>
  </conditionalFormatting>
  <conditionalFormatting sqref="S23">
    <cfRule type="cellIs" dxfId="4" priority="196" operator="lessThanOrEqual">
      <formula>J23</formula>
    </cfRule>
  </conditionalFormatting>
  <conditionalFormatting sqref="S24">
    <cfRule type="cellIs" dxfId="4" priority="201" operator="lessThanOrEqual">
      <formula>J24</formula>
    </cfRule>
  </conditionalFormatting>
  <conditionalFormatting sqref="S25">
    <cfRule type="cellIs" dxfId="4" priority="206" operator="lessThanOrEqual">
      <formula>J25</formula>
    </cfRule>
  </conditionalFormatting>
  <conditionalFormatting sqref="S26">
    <cfRule type="cellIs" dxfId="4" priority="211" operator="lessThanOrEqual">
      <formula>J26</formula>
    </cfRule>
  </conditionalFormatting>
  <conditionalFormatting sqref="S27">
    <cfRule type="cellIs" dxfId="4" priority="216" operator="lessThanOrEqual">
      <formula>J27</formula>
    </cfRule>
  </conditionalFormatting>
  <conditionalFormatting sqref="S28">
    <cfRule type="cellIs" dxfId="4" priority="221" operator="lessThanOrEqual">
      <formula>J28</formula>
    </cfRule>
  </conditionalFormatting>
  <conditionalFormatting sqref="S29">
    <cfRule type="cellIs" dxfId="4" priority="227" operator="lessThanOrEqual">
      <formula>J29</formula>
    </cfRule>
  </conditionalFormatting>
  <conditionalFormatting sqref="S30">
    <cfRule type="cellIs" dxfId="4" priority="232" operator="lessThanOrEqual">
      <formula>J30</formula>
    </cfRule>
  </conditionalFormatting>
  <conditionalFormatting sqref="S31">
    <cfRule type="cellIs" dxfId="4" priority="237" operator="lessThanOrEqual">
      <formula>J31</formula>
    </cfRule>
  </conditionalFormatting>
  <conditionalFormatting sqref="S33">
    <cfRule type="cellIs" dxfId="4" priority="242" operator="lessThanOrEqual">
      <formula>J33</formula>
    </cfRule>
  </conditionalFormatting>
  <conditionalFormatting sqref="S34">
    <cfRule type="cellIs" dxfId="4" priority="247" operator="lessThanOrEqual">
      <formula>J34</formula>
    </cfRule>
  </conditionalFormatting>
  <conditionalFormatting sqref="S7">
    <cfRule type="cellIs" dxfId="4" priority="120" operator="lessThanOrEqual">
      <formula>J7</formula>
    </cfRule>
  </conditionalFormatting>
  <conditionalFormatting sqref="S8">
    <cfRule type="cellIs" dxfId="4" priority="125" operator="lessThanOrEqual">
      <formula>J8</formula>
    </cfRule>
  </conditionalFormatting>
  <conditionalFormatting sqref="S9">
    <cfRule type="cellIs" dxfId="4" priority="130" operator="lessThanOrEqual">
      <formula>J9</formula>
    </cfRule>
  </conditionalFormatting>
  <conditionalFormatting sqref="U10">
    <cfRule type="cellIs" dxfId="1" priority="267" operator="equal">
      <formula>0</formula>
    </cfRule>
    <cfRule type="cellIs" dxfId="2" priority="268" operator="lessThan">
      <formula>H10</formula>
    </cfRule>
  </conditionalFormatting>
  <conditionalFormatting sqref="U11">
    <cfRule type="cellIs" dxfId="1" priority="273" operator="equal">
      <formula>0</formula>
    </cfRule>
    <cfRule type="cellIs" dxfId="2" priority="274" operator="lessThan">
      <formula>H11</formula>
    </cfRule>
  </conditionalFormatting>
  <conditionalFormatting sqref="U12">
    <cfRule type="cellIs" dxfId="1" priority="279" operator="equal">
      <formula>0</formula>
    </cfRule>
    <cfRule type="cellIs" dxfId="2" priority="280" operator="lessThan">
      <formula>H12</formula>
    </cfRule>
  </conditionalFormatting>
  <conditionalFormatting sqref="U13">
    <cfRule type="cellIs" dxfId="1" priority="285" operator="equal">
      <formula>0</formula>
    </cfRule>
    <cfRule type="cellIs" dxfId="2" priority="286" operator="lessThan">
      <formula>H13</formula>
    </cfRule>
  </conditionalFormatting>
  <conditionalFormatting sqref="U14">
    <cfRule type="cellIs" dxfId="1" priority="291" operator="equal">
      <formula>0</formula>
    </cfRule>
    <cfRule type="cellIs" dxfId="2" priority="292" operator="lessThan">
      <formula>H14</formula>
    </cfRule>
  </conditionalFormatting>
  <conditionalFormatting sqref="U15">
    <cfRule type="cellIs" dxfId="1" priority="297" operator="equal">
      <formula>0</formula>
    </cfRule>
    <cfRule type="cellIs" dxfId="2" priority="298" operator="lessThan">
      <formula>H15</formula>
    </cfRule>
  </conditionalFormatting>
  <conditionalFormatting sqref="U20">
    <cfRule type="cellIs" dxfId="1" priority="302" operator="equal">
      <formula>0</formula>
    </cfRule>
    <cfRule type="cellIs" dxfId="2" priority="303" operator="lessThan">
      <formula>H20</formula>
    </cfRule>
  </conditionalFormatting>
  <conditionalFormatting sqref="U21">
    <cfRule type="cellIs" dxfId="1" priority="308" operator="equal">
      <formula>0</formula>
    </cfRule>
    <cfRule type="cellIs" dxfId="2" priority="309" operator="lessThan">
      <formula>H21</formula>
    </cfRule>
  </conditionalFormatting>
  <conditionalFormatting sqref="U22">
    <cfRule type="cellIs" dxfId="1" priority="314" operator="equal">
      <formula>0</formula>
    </cfRule>
    <cfRule type="cellIs" dxfId="2" priority="315" operator="lessThan">
      <formula>H22</formula>
    </cfRule>
  </conditionalFormatting>
  <conditionalFormatting sqref="U23">
    <cfRule type="cellIs" dxfId="1" priority="320" operator="equal">
      <formula>0</formula>
    </cfRule>
    <cfRule type="cellIs" dxfId="2" priority="321" operator="lessThan">
      <formula>H23</formula>
    </cfRule>
  </conditionalFormatting>
  <conditionalFormatting sqref="U24">
    <cfRule type="cellIs" dxfId="1" priority="326" operator="equal">
      <formula>0</formula>
    </cfRule>
    <cfRule type="cellIs" dxfId="2" priority="327" operator="lessThan">
      <formula>H24</formula>
    </cfRule>
  </conditionalFormatting>
  <conditionalFormatting sqref="U25">
    <cfRule type="cellIs" dxfId="1" priority="332" operator="equal">
      <formula>0</formula>
    </cfRule>
    <cfRule type="cellIs" dxfId="2" priority="333" operator="lessThan">
      <formula>H25</formula>
    </cfRule>
  </conditionalFormatting>
  <conditionalFormatting sqref="U26">
    <cfRule type="cellIs" dxfId="1" priority="338" operator="equal">
      <formula>0</formula>
    </cfRule>
    <cfRule type="cellIs" dxfId="2" priority="339" operator="lessThan">
      <formula>H26</formula>
    </cfRule>
  </conditionalFormatting>
  <conditionalFormatting sqref="U27">
    <cfRule type="cellIs" dxfId="1" priority="344" operator="equal">
      <formula>0</formula>
    </cfRule>
    <cfRule type="cellIs" dxfId="2" priority="345" operator="lessThan">
      <formula>H27</formula>
    </cfRule>
  </conditionalFormatting>
  <conditionalFormatting sqref="U28">
    <cfRule type="cellIs" dxfId="1" priority="350" operator="equal">
      <formula>0</formula>
    </cfRule>
    <cfRule type="cellIs" dxfId="2" priority="351" operator="lessThan">
      <formula>H28</formula>
    </cfRule>
  </conditionalFormatting>
  <conditionalFormatting sqref="U30">
    <cfRule type="cellIs" dxfId="1" priority="356" operator="equal">
      <formula>0</formula>
    </cfRule>
    <cfRule type="cellIs" dxfId="2" priority="357" operator="lessThan">
      <formula>H30</formula>
    </cfRule>
  </conditionalFormatting>
  <conditionalFormatting sqref="U31">
    <cfRule type="cellIs" dxfId="1" priority="361" operator="equal">
      <formula>0</formula>
    </cfRule>
    <cfRule type="cellIs" dxfId="2" priority="362" operator="lessThan">
      <formula>H31</formula>
    </cfRule>
  </conditionalFormatting>
  <conditionalFormatting sqref="U7">
    <cfRule type="cellIs" dxfId="1" priority="249" operator="equal">
      <formula>0</formula>
    </cfRule>
    <cfRule type="cellIs" dxfId="2" priority="250" operator="lessThan">
      <formula>H7</formula>
    </cfRule>
  </conditionalFormatting>
  <conditionalFormatting sqref="U8">
    <cfRule type="cellIs" dxfId="1" priority="255" operator="equal">
      <formula>0</formula>
    </cfRule>
    <cfRule type="cellIs" dxfId="2" priority="256" operator="lessThan">
      <formula>H8</formula>
    </cfRule>
  </conditionalFormatting>
  <conditionalFormatting sqref="U9">
    <cfRule type="cellIs" dxfId="1" priority="261" operator="equal">
      <formula>0</formula>
    </cfRule>
    <cfRule type="cellIs" dxfId="2" priority="262" operator="lessThan">
      <formula>H9</formula>
    </cfRule>
  </conditionalFormatting>
  <conditionalFormatting sqref="V10">
    <cfRule type="expression" dxfId="3" priority="269">
      <formula>AND(V10&gt;0,V10&lt;10)</formula>
    </cfRule>
    <cfRule type="cellIs" dxfId="1" priority="270" operator="greaterThan">
      <formula>U10</formula>
    </cfRule>
  </conditionalFormatting>
  <conditionalFormatting sqref="V11">
    <cfRule type="expression" dxfId="3" priority="275">
      <formula>AND(V11&gt;0,V11&lt;10)</formula>
    </cfRule>
    <cfRule type="cellIs" dxfId="1" priority="276" operator="greaterThan">
      <formula>U11</formula>
    </cfRule>
  </conditionalFormatting>
  <conditionalFormatting sqref="V12">
    <cfRule type="expression" dxfId="3" priority="281">
      <formula>AND(V12&gt;0,V12&lt;10)</formula>
    </cfRule>
    <cfRule type="cellIs" dxfId="1" priority="282" operator="greaterThan">
      <formula>U12</formula>
    </cfRule>
  </conditionalFormatting>
  <conditionalFormatting sqref="V13">
    <cfRule type="expression" dxfId="3" priority="287">
      <formula>AND(V13&gt;0,V13&lt;5)</formula>
    </cfRule>
    <cfRule type="cellIs" dxfId="1" priority="288" operator="greaterThan">
      <formula>U13</formula>
    </cfRule>
  </conditionalFormatting>
  <conditionalFormatting sqref="V14">
    <cfRule type="expression" dxfId="3" priority="293">
      <formula>AND(V14&gt;0,V14&lt;4000)</formula>
    </cfRule>
    <cfRule type="cellIs" dxfId="1" priority="294" operator="greaterThan">
      <formula>U14</formula>
    </cfRule>
  </conditionalFormatting>
  <conditionalFormatting sqref="V15">
    <cfRule type="cellIs" dxfId="1" priority="299" operator="greaterThan">
      <formula>U15</formula>
    </cfRule>
  </conditionalFormatting>
  <conditionalFormatting sqref="V20">
    <cfRule type="expression" dxfId="3" priority="304">
      <formula>AND(V20&gt;0,V20&lt;15000)</formula>
    </cfRule>
    <cfRule type="cellIs" dxfId="1" priority="305" operator="greaterThan">
      <formula>U20</formula>
    </cfRule>
  </conditionalFormatting>
  <conditionalFormatting sqref="V21">
    <cfRule type="expression" dxfId="3" priority="310">
      <formula>AND(V21&gt;0,V21&lt;15000)</formula>
    </cfRule>
    <cfRule type="cellIs" dxfId="1" priority="311" operator="greaterThan">
      <formula>U21</formula>
    </cfRule>
  </conditionalFormatting>
  <conditionalFormatting sqref="V22">
    <cfRule type="expression" dxfId="3" priority="316">
      <formula>AND(V22&gt;0,V22&lt;15000)</formula>
    </cfRule>
    <cfRule type="cellIs" dxfId="1" priority="317" operator="greaterThan">
      <formula>U22</formula>
    </cfRule>
  </conditionalFormatting>
  <conditionalFormatting sqref="V23">
    <cfRule type="expression" dxfId="3" priority="322">
      <formula>AND(V23&gt;0,V23&lt;15000)</formula>
    </cfRule>
    <cfRule type="cellIs" dxfId="1" priority="323" operator="greaterThan">
      <formula>U23</formula>
    </cfRule>
  </conditionalFormatting>
  <conditionalFormatting sqref="V24">
    <cfRule type="expression" dxfId="3" priority="328">
      <formula>AND(V24&gt;0,V24&lt;15000)</formula>
    </cfRule>
    <cfRule type="cellIs" dxfId="1" priority="329" operator="greaterThan">
      <formula>U24</formula>
    </cfRule>
  </conditionalFormatting>
  <conditionalFormatting sqref="V25">
    <cfRule type="expression" dxfId="3" priority="334">
      <formula>AND(V25&gt;0,V25&lt;15000)</formula>
    </cfRule>
    <cfRule type="cellIs" dxfId="1" priority="335" operator="greaterThan">
      <formula>U25</formula>
    </cfRule>
  </conditionalFormatting>
  <conditionalFormatting sqref="V26">
    <cfRule type="expression" dxfId="3" priority="340">
      <formula>AND(V26&gt;0,V26&lt;10)</formula>
    </cfRule>
    <cfRule type="cellIs" dxfId="1" priority="341" operator="greaterThan">
      <formula>U26</formula>
    </cfRule>
  </conditionalFormatting>
  <conditionalFormatting sqref="V27">
    <cfRule type="expression" dxfId="3" priority="346">
      <formula>AND(V27&gt;0,V27&lt;5)</formula>
    </cfRule>
    <cfRule type="cellIs" dxfId="1" priority="347" operator="greaterThan">
      <formula>U27</formula>
    </cfRule>
  </conditionalFormatting>
  <conditionalFormatting sqref="V28">
    <cfRule type="expression" dxfId="3" priority="352">
      <formula>AND(V28&gt;0,V28&lt;5)</formula>
    </cfRule>
    <cfRule type="cellIs" dxfId="1" priority="353" operator="greaterThan">
      <formula>U28</formula>
    </cfRule>
  </conditionalFormatting>
  <conditionalFormatting sqref="V30">
    <cfRule type="cellIs" dxfId="1" priority="358" operator="greaterThan">
      <formula>U30</formula>
    </cfRule>
  </conditionalFormatting>
  <conditionalFormatting sqref="V31">
    <cfRule type="expression" dxfId="3" priority="363">
      <formula>AND(V31&gt;0,V31&lt;5)</formula>
    </cfRule>
    <cfRule type="cellIs" dxfId="1" priority="364" operator="greaterThan">
      <formula>U31</formula>
    </cfRule>
  </conditionalFormatting>
  <conditionalFormatting sqref="V7">
    <cfRule type="expression" dxfId="3" priority="251">
      <formula>AND(V7&gt;0,V7&lt;10)</formula>
    </cfRule>
    <cfRule type="cellIs" dxfId="1" priority="252" operator="greaterThan">
      <formula>U7</formula>
    </cfRule>
  </conditionalFormatting>
  <conditionalFormatting sqref="V8">
    <cfRule type="expression" dxfId="3" priority="257">
      <formula>AND(V8&gt;0,V8&lt;10)</formula>
    </cfRule>
    <cfRule type="cellIs" dxfId="1" priority="258" operator="greaterThan">
      <formula>U8</formula>
    </cfRule>
  </conditionalFormatting>
  <conditionalFormatting sqref="V9">
    <cfRule type="expression" dxfId="3" priority="263">
      <formula>AND(V9&gt;0,V9&lt;10)</formula>
    </cfRule>
    <cfRule type="cellIs" dxfId="1" priority="264" operator="greaterThan">
      <formula>U9</formula>
    </cfRule>
  </conditionalFormatting>
  <conditionalFormatting sqref="W10">
    <cfRule type="cellIs" dxfId="4" priority="272" operator="lessThanOrEqual">
      <formula>I10</formula>
    </cfRule>
  </conditionalFormatting>
  <conditionalFormatting sqref="W11">
    <cfRule type="cellIs" dxfId="4" priority="278" operator="lessThanOrEqual">
      <formula>I11</formula>
    </cfRule>
  </conditionalFormatting>
  <conditionalFormatting sqref="W12">
    <cfRule type="cellIs" dxfId="4" priority="284" operator="lessThanOrEqual">
      <formula>I12</formula>
    </cfRule>
  </conditionalFormatting>
  <conditionalFormatting sqref="W13">
    <cfRule type="cellIs" dxfId="4" priority="290" operator="lessThanOrEqual">
      <formula>I13</formula>
    </cfRule>
  </conditionalFormatting>
  <conditionalFormatting sqref="W14">
    <cfRule type="cellIs" dxfId="4" priority="296" operator="lessThanOrEqual">
      <formula>I14</formula>
    </cfRule>
  </conditionalFormatting>
  <conditionalFormatting sqref="W15">
    <cfRule type="cellIs" dxfId="4" priority="301" operator="lessThanOrEqual">
      <formula>I15</formula>
    </cfRule>
  </conditionalFormatting>
  <conditionalFormatting sqref="W20">
    <cfRule type="cellIs" dxfId="4" priority="307" operator="lessThanOrEqual">
      <formula>I20</formula>
    </cfRule>
  </conditionalFormatting>
  <conditionalFormatting sqref="W21">
    <cfRule type="cellIs" dxfId="4" priority="313" operator="lessThanOrEqual">
      <formula>I21</formula>
    </cfRule>
  </conditionalFormatting>
  <conditionalFormatting sqref="W22">
    <cfRule type="cellIs" dxfId="4" priority="319" operator="lessThanOrEqual">
      <formula>I22</formula>
    </cfRule>
  </conditionalFormatting>
  <conditionalFormatting sqref="W23">
    <cfRule type="cellIs" dxfId="4" priority="325" operator="lessThanOrEqual">
      <formula>I23</formula>
    </cfRule>
  </conditionalFormatting>
  <conditionalFormatting sqref="W24">
    <cfRule type="cellIs" dxfId="4" priority="331" operator="lessThanOrEqual">
      <formula>I24</formula>
    </cfRule>
  </conditionalFormatting>
  <conditionalFormatting sqref="W25">
    <cfRule type="cellIs" dxfId="4" priority="337" operator="lessThanOrEqual">
      <formula>I25</formula>
    </cfRule>
  </conditionalFormatting>
  <conditionalFormatting sqref="W26">
    <cfRule type="cellIs" dxfId="4" priority="343" operator="lessThanOrEqual">
      <formula>I26</formula>
    </cfRule>
  </conditionalFormatting>
  <conditionalFormatting sqref="W27">
    <cfRule type="cellIs" dxfId="4" priority="349" operator="lessThanOrEqual">
      <formula>I27</formula>
    </cfRule>
  </conditionalFormatting>
  <conditionalFormatting sqref="W28">
    <cfRule type="cellIs" dxfId="4" priority="355" operator="lessThanOrEqual">
      <formula>I28</formula>
    </cfRule>
  </conditionalFormatting>
  <conditionalFormatting sqref="W30">
    <cfRule type="cellIs" dxfId="4" priority="360" operator="lessThanOrEqual">
      <formula>I30</formula>
    </cfRule>
  </conditionalFormatting>
  <conditionalFormatting sqref="W31">
    <cfRule type="cellIs" dxfId="4" priority="366" operator="lessThanOrEqual">
      <formula>I31</formula>
    </cfRule>
  </conditionalFormatting>
  <conditionalFormatting sqref="W7">
    <cfRule type="cellIs" dxfId="4" priority="254" operator="lessThanOrEqual">
      <formula>I7</formula>
    </cfRule>
  </conditionalFormatting>
  <conditionalFormatting sqref="W8">
    <cfRule type="cellIs" dxfId="4" priority="260" operator="lessThanOrEqual">
      <formula>I8</formula>
    </cfRule>
  </conditionalFormatting>
  <conditionalFormatting sqref="W9">
    <cfRule type="cellIs" dxfId="4" priority="266" operator="lessThanOrEqual">
      <formula>I9</formula>
    </cfRule>
  </conditionalFormatting>
  <conditionalFormatting sqref="X10">
    <cfRule type="cellIs" dxfId="4" priority="271" operator="lessThanOrEqual">
      <formula>J10</formula>
    </cfRule>
  </conditionalFormatting>
  <conditionalFormatting sqref="X11">
    <cfRule type="cellIs" dxfId="4" priority="277" operator="lessThanOrEqual">
      <formula>J11</formula>
    </cfRule>
  </conditionalFormatting>
  <conditionalFormatting sqref="X12">
    <cfRule type="cellIs" dxfId="4" priority="283" operator="lessThanOrEqual">
      <formula>J12</formula>
    </cfRule>
  </conditionalFormatting>
  <conditionalFormatting sqref="X13">
    <cfRule type="cellIs" dxfId="4" priority="289" operator="lessThanOrEqual">
      <formula>J13</formula>
    </cfRule>
  </conditionalFormatting>
  <conditionalFormatting sqref="X14">
    <cfRule type="cellIs" dxfId="4" priority="295" operator="lessThanOrEqual">
      <formula>J14</formula>
    </cfRule>
  </conditionalFormatting>
  <conditionalFormatting sqref="X15">
    <cfRule type="cellIs" dxfId="4" priority="300" operator="lessThanOrEqual">
      <formula>J15</formula>
    </cfRule>
  </conditionalFormatting>
  <conditionalFormatting sqref="X20">
    <cfRule type="cellIs" dxfId="4" priority="306" operator="lessThanOrEqual">
      <formula>J20</formula>
    </cfRule>
  </conditionalFormatting>
  <conditionalFormatting sqref="X21">
    <cfRule type="cellIs" dxfId="4" priority="312" operator="lessThanOrEqual">
      <formula>J21</formula>
    </cfRule>
  </conditionalFormatting>
  <conditionalFormatting sqref="X22">
    <cfRule type="cellIs" dxfId="4" priority="318" operator="lessThanOrEqual">
      <formula>J22</formula>
    </cfRule>
  </conditionalFormatting>
  <conditionalFormatting sqref="X23">
    <cfRule type="cellIs" dxfId="4" priority="324" operator="lessThanOrEqual">
      <formula>J23</formula>
    </cfRule>
  </conditionalFormatting>
  <conditionalFormatting sqref="X24">
    <cfRule type="cellIs" dxfId="4" priority="330" operator="lessThanOrEqual">
      <formula>J24</formula>
    </cfRule>
  </conditionalFormatting>
  <conditionalFormatting sqref="X25">
    <cfRule type="cellIs" dxfId="4" priority="336" operator="lessThanOrEqual">
      <formula>J25</formula>
    </cfRule>
  </conditionalFormatting>
  <conditionalFormatting sqref="X26">
    <cfRule type="cellIs" dxfId="4" priority="342" operator="lessThanOrEqual">
      <formula>J26</formula>
    </cfRule>
  </conditionalFormatting>
  <conditionalFormatting sqref="X27">
    <cfRule type="cellIs" dxfId="4" priority="348" operator="lessThanOrEqual">
      <formula>J27</formula>
    </cfRule>
  </conditionalFormatting>
  <conditionalFormatting sqref="X28">
    <cfRule type="cellIs" dxfId="4" priority="354" operator="lessThanOrEqual">
      <formula>J28</formula>
    </cfRule>
  </conditionalFormatting>
  <conditionalFormatting sqref="X30">
    <cfRule type="cellIs" dxfId="4" priority="359" operator="lessThanOrEqual">
      <formula>J30</formula>
    </cfRule>
  </conditionalFormatting>
  <conditionalFormatting sqref="X31">
    <cfRule type="cellIs" dxfId="4" priority="365" operator="lessThanOrEqual">
      <formula>J31</formula>
    </cfRule>
  </conditionalFormatting>
  <conditionalFormatting sqref="X7">
    <cfRule type="cellIs" dxfId="4" priority="253" operator="lessThanOrEqual">
      <formula>J7</formula>
    </cfRule>
  </conditionalFormatting>
  <conditionalFormatting sqref="X8">
    <cfRule type="cellIs" dxfId="4" priority="259" operator="lessThanOrEqual">
      <formula>J8</formula>
    </cfRule>
  </conditionalFormatting>
  <conditionalFormatting sqref="X9">
    <cfRule type="cellIs" dxfId="4" priority="265" operator="lessThanOrEqual">
      <formula>J9</formula>
    </cfRule>
  </conditionalFormatting>
  <conditionalFormatting sqref="Z10">
    <cfRule type="cellIs" dxfId="1" priority="385" operator="equal">
      <formula>0</formula>
    </cfRule>
    <cfRule type="cellIs" dxfId="2" priority="386" operator="lessThan">
      <formula>H10</formula>
    </cfRule>
  </conditionalFormatting>
  <conditionalFormatting sqref="Z11">
    <cfRule type="cellIs" dxfId="1" priority="391" operator="equal">
      <formula>0</formula>
    </cfRule>
    <cfRule type="cellIs" dxfId="2" priority="392" operator="lessThan">
      <formula>H11</formula>
    </cfRule>
  </conditionalFormatting>
  <conditionalFormatting sqref="Z12">
    <cfRule type="cellIs" dxfId="1" priority="397" operator="equal">
      <formula>0</formula>
    </cfRule>
    <cfRule type="cellIs" dxfId="2" priority="398" operator="lessThan">
      <formula>H12</formula>
    </cfRule>
  </conditionalFormatting>
  <conditionalFormatting sqref="Z18">
    <cfRule type="cellIs" dxfId="1" priority="403" operator="equal">
      <formula>0</formula>
    </cfRule>
    <cfRule type="cellIs" dxfId="2" priority="404" operator="lessThan">
      <formula>H18</formula>
    </cfRule>
  </conditionalFormatting>
  <conditionalFormatting sqref="Z24">
    <cfRule type="cellIs" dxfId="1" priority="408" operator="equal">
      <formula>0</formula>
    </cfRule>
    <cfRule type="cellIs" dxfId="2" priority="409" operator="lessThan">
      <formula>H24</formula>
    </cfRule>
  </conditionalFormatting>
  <conditionalFormatting sqref="Z25">
    <cfRule type="cellIs" dxfId="1" priority="414" operator="equal">
      <formula>0</formula>
    </cfRule>
    <cfRule type="cellIs" dxfId="2" priority="415" operator="lessThan">
      <formula>H25</formula>
    </cfRule>
  </conditionalFormatting>
  <conditionalFormatting sqref="Z26">
    <cfRule type="cellIs" dxfId="1" priority="420" operator="equal">
      <formula>0</formula>
    </cfRule>
    <cfRule type="cellIs" dxfId="2" priority="421" operator="lessThan">
      <formula>H26</formula>
    </cfRule>
  </conditionalFormatting>
  <conditionalFormatting sqref="Z31">
    <cfRule type="cellIs" dxfId="1" priority="425" operator="equal">
      <formula>0</formula>
    </cfRule>
    <cfRule type="cellIs" dxfId="2" priority="426" operator="lessThan">
      <formula>H31</formula>
    </cfRule>
  </conditionalFormatting>
  <conditionalFormatting sqref="Z7">
    <cfRule type="cellIs" dxfId="1" priority="367" operator="equal">
      <formula>0</formula>
    </cfRule>
    <cfRule type="cellIs" dxfId="2" priority="368" operator="lessThan">
      <formula>H7</formula>
    </cfRule>
  </conditionalFormatting>
  <conditionalFormatting sqref="Z8">
    <cfRule type="cellIs" dxfId="1" priority="373" operator="equal">
      <formula>0</formula>
    </cfRule>
    <cfRule type="cellIs" dxfId="2" priority="374" operator="lessThan">
      <formula>H8</formula>
    </cfRule>
  </conditionalFormatting>
  <conditionalFormatting sqref="Z9">
    <cfRule type="cellIs" dxfId="1" priority="379" operator="equal">
      <formula>0</formula>
    </cfRule>
    <cfRule type="cellIs" dxfId="2" priority="380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D8" r:id="rId10"/>
    <hyperlink ref="AI8" r:id="rId11"/>
    <hyperlink ref="AN8" r:id="rId12"/>
    <hyperlink ref="G9" r:id="rId13"/>
    <hyperlink ref="T9" r:id="rId14"/>
    <hyperlink ref="Y9" r:id="rId15"/>
    <hyperlink ref="AD9" r:id="rId16"/>
    <hyperlink ref="AI9" r:id="rId17"/>
    <hyperlink ref="AN9" r:id="rId18"/>
    <hyperlink ref="G10" r:id="rId19"/>
    <hyperlink ref="T10" r:id="rId20"/>
    <hyperlink ref="Y10" r:id="rId21"/>
    <hyperlink ref="AD10" r:id="rId22"/>
    <hyperlink ref="AI10" r:id="rId23"/>
    <hyperlink ref="AN10" r:id="rId24"/>
    <hyperlink ref="G11" r:id="rId25"/>
    <hyperlink ref="T11" r:id="rId26"/>
    <hyperlink ref="Y11" r:id="rId27"/>
    <hyperlink ref="AD11" r:id="rId28"/>
    <hyperlink ref="AI11" r:id="rId29"/>
    <hyperlink ref="AN11" r:id="rId30"/>
    <hyperlink ref="G12" r:id="rId31"/>
    <hyperlink ref="T12" r:id="rId32"/>
    <hyperlink ref="Y12" r:id="rId33"/>
    <hyperlink ref="AD12" r:id="rId34"/>
    <hyperlink ref="AI12" r:id="rId35"/>
    <hyperlink ref="AN12" r:id="rId36"/>
    <hyperlink ref="AS12" r:id="rId37"/>
    <hyperlink ref="G13" r:id="rId38"/>
    <hyperlink ref="T13" r:id="rId39"/>
    <hyperlink ref="Y13" r:id="rId40"/>
    <hyperlink ref="AI13" r:id="rId41"/>
    <hyperlink ref="AN13" r:id="rId42"/>
    <hyperlink ref="G14" r:id="rId43"/>
    <hyperlink ref="T14" r:id="rId44"/>
    <hyperlink ref="Y14" r:id="rId45"/>
    <hyperlink ref="AI14" r:id="rId46"/>
    <hyperlink ref="AN14" r:id="rId47"/>
    <hyperlink ref="AX14" r:id="rId48"/>
    <hyperlink ref="G15" r:id="rId49"/>
    <hyperlink ref="T15" r:id="rId50"/>
    <hyperlink ref="Y15" r:id="rId51"/>
    <hyperlink ref="AI15" r:id="rId52"/>
    <hyperlink ref="AN15" r:id="rId53"/>
    <hyperlink ref="AX15" r:id="rId54"/>
    <hyperlink ref="G16" r:id="rId55"/>
    <hyperlink ref="T16" r:id="rId56"/>
    <hyperlink ref="G17" r:id="rId57"/>
    <hyperlink ref="T17" r:id="rId58"/>
    <hyperlink ref="G18" r:id="rId59"/>
    <hyperlink ref="AD18" r:id="rId60"/>
    <hyperlink ref="G19" r:id="rId61"/>
    <hyperlink ref="T19" r:id="rId62"/>
    <hyperlink ref="AI19" r:id="rId63"/>
    <hyperlink ref="G20" r:id="rId64"/>
    <hyperlink ref="T20" r:id="rId65"/>
    <hyperlink ref="Y20" r:id="rId66"/>
    <hyperlink ref="AI20" r:id="rId67"/>
    <hyperlink ref="AN20" r:id="rId68"/>
    <hyperlink ref="AS20" r:id="rId69"/>
    <hyperlink ref="G21" r:id="rId70"/>
    <hyperlink ref="T21" r:id="rId71"/>
    <hyperlink ref="Y21" r:id="rId72"/>
    <hyperlink ref="AI21" r:id="rId73"/>
    <hyperlink ref="AN21" r:id="rId74"/>
    <hyperlink ref="AS21" r:id="rId75"/>
    <hyperlink ref="G22" r:id="rId76"/>
    <hyperlink ref="T22" r:id="rId77"/>
    <hyperlink ref="Y22" r:id="rId78"/>
    <hyperlink ref="AI22" r:id="rId79"/>
    <hyperlink ref="AS22" r:id="rId80"/>
    <hyperlink ref="G23" r:id="rId81"/>
    <hyperlink ref="T23" r:id="rId82"/>
    <hyperlink ref="Y23" r:id="rId83"/>
    <hyperlink ref="AI23" r:id="rId84"/>
    <hyperlink ref="AN23" r:id="rId85"/>
    <hyperlink ref="G24" r:id="rId86"/>
    <hyperlink ref="T24" r:id="rId87"/>
    <hyperlink ref="Y24" r:id="rId88"/>
    <hyperlink ref="AD24" r:id="rId89"/>
    <hyperlink ref="AI24" r:id="rId90"/>
    <hyperlink ref="AN24" r:id="rId91"/>
    <hyperlink ref="AS24" r:id="rId92"/>
    <hyperlink ref="G25" r:id="rId93"/>
    <hyperlink ref="T25" r:id="rId94"/>
    <hyperlink ref="Y25" r:id="rId95"/>
    <hyperlink ref="AD25" r:id="rId96"/>
    <hyperlink ref="AI25" r:id="rId97"/>
    <hyperlink ref="AN25" r:id="rId98"/>
    <hyperlink ref="AS25" r:id="rId99"/>
    <hyperlink ref="G26" r:id="rId100"/>
    <hyperlink ref="T26" r:id="rId101"/>
    <hyperlink ref="Y26" r:id="rId102"/>
    <hyperlink ref="AD26" r:id="rId103"/>
    <hyperlink ref="AI26" r:id="rId104"/>
    <hyperlink ref="AN26" r:id="rId105"/>
    <hyperlink ref="AX26" r:id="rId106"/>
    <hyperlink ref="G27" r:id="rId107"/>
    <hyperlink ref="T27" r:id="rId108"/>
    <hyperlink ref="Y27" r:id="rId109"/>
    <hyperlink ref="AI27" r:id="rId110"/>
    <hyperlink ref="AN27" r:id="rId111"/>
    <hyperlink ref="AS27" r:id="rId112"/>
    <hyperlink ref="G28" r:id="rId113"/>
    <hyperlink ref="T28" r:id="rId114"/>
    <hyperlink ref="Y28" r:id="rId115"/>
    <hyperlink ref="AI28" r:id="rId116"/>
    <hyperlink ref="AN28" r:id="rId117"/>
    <hyperlink ref="AS28" r:id="rId118"/>
    <hyperlink ref="G29" r:id="rId119"/>
    <hyperlink ref="T29" r:id="rId120"/>
    <hyperlink ref="AI29" r:id="rId121"/>
    <hyperlink ref="G30" r:id="rId122"/>
    <hyperlink ref="T30" r:id="rId123"/>
    <hyperlink ref="Y30" r:id="rId124"/>
    <hyperlink ref="AI30" r:id="rId125"/>
    <hyperlink ref="AN30" r:id="rId126"/>
    <hyperlink ref="G31" r:id="rId127"/>
    <hyperlink ref="T31" r:id="rId128"/>
    <hyperlink ref="Y31" r:id="rId129"/>
    <hyperlink ref="AD31" r:id="rId130"/>
    <hyperlink ref="AI31" r:id="rId131"/>
    <hyperlink ref="AN31" r:id="rId132"/>
    <hyperlink ref="AS31" r:id="rId133"/>
    <hyperlink ref="AX31" r:id="rId134"/>
    <hyperlink ref="G32" r:id="rId135"/>
    <hyperlink ref="G33" r:id="rId136"/>
    <hyperlink ref="T33" r:id="rId137"/>
    <hyperlink ref="G34" r:id="rId138"/>
    <hyperlink ref="T34" r:id="rId139"/>
    <hyperlink ref="AI34" r:id="rId140"/>
    <hyperlink ref="G35" r:id="rId141"/>
    <hyperlink ref="T35" r:id="rId142"/>
    <hyperlink ref="AI35" r:id="rId143"/>
    <hyperlink ref="K37" r:id="rId144"/>
    <hyperlink ref="P37" r:id="rId145"/>
    <hyperlink ref="U37" r:id="rId146"/>
    <hyperlink ref="Z37" r:id="rId147"/>
    <hyperlink ref="AE37" r:id="rId148"/>
    <hyperlink ref="AJ37" r:id="rId149"/>
    <hyperlink ref="AO37" r:id="rId150"/>
    <hyperlink ref="AT37" r:id="rId151"/>
  </hyperlinks>
  <pageMargins left="0.7" right="0.7" top="0.75" bottom="0.75" header="0.3" footer="0.3"/>
  <legacy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2021-01-10T15:18:59Z</dcterms:created>
  <dcterms:modified xsi:type="dcterms:W3CDTF">2021-01-10T15:18:59Z</dcterms:modified>
</cp:coreProperties>
</file>