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kicost. " sheetId="1" r:id="rId1"/>
  </sheets>
  <definedNames>
    <definedName name="arrow_part_data">'reDIP-SID-kicost. '!$K$5:$O$35</definedName>
    <definedName name="BoardQty">'reDIP-SID-kicost. '!$J$1</definedName>
    <definedName name="digikey_part_data">'reDIP-SID-kicost. '!$P$5:$T$35</definedName>
    <definedName name="farnell_part_data">'reDIP-SID-kicost. '!$U$5:$Y$35</definedName>
    <definedName name="global_part_data">'reDIP-SID-kicost. '!$A$5:$J$35</definedName>
    <definedName name="lcsc_part_data">'reDIP-SID-kicost. '!$Z$5:$AD$35</definedName>
    <definedName name="mouser_part_data">'reDIP-SID-kicost. '!$AE$5:$AI$35</definedName>
    <definedName name="newark_part_data">'reDIP-SID-kicost. '!$AJ$5:$AN$35</definedName>
    <definedName name="PURCHASE_DESCRIPTION">'reDIP-SID-kicost. '!$J$38</definedName>
    <definedName name="rs_part_data">'reDIP-SID-kicost. '!$AO$5:$AS$35</definedName>
    <definedName name="tme_part_data">'reDIP-SID-kicost. '!$AT$5:$AX$35</definedName>
    <definedName name="TotalCost">'reDIP-SID-kicost. '!$J$3</definedName>
    <definedName name="USD_GBP">'reDIP-SID-kicost. '!$C$38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£1.28
   100   £0.06      £6.38
   150   £0.06      £9.57
   500   £0.05     £24.75
  2500   £0.03     £79.75
  5000   £0.03    £146.00
 10000   £0.03    £264.00
 50000   £0.02  £1,100.00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$0.64
   100   $0.05      $4.94
   300   $0.05     $14.04
  1000   $0.04     $44.20
  5000   $0.04    $215.50
 10000   $0.04    $425.00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$3.72
    50   $0.12      $6.20
   100   $0.10      $9.90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$0.01      $0.72
   100   $0.01      $1.18
   500   $0.01      $4.23
  1000   $0.01      $6.64
  2500   $0.01     $15.10
  5000   $0.01     $27.75
 15000   $0.00     $63.00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£0.06
   100   £0.01      £0.56
   150   £0.01      £0.84
   500   £0.00      £2.45
  2500   £0.00      £7.00
  7500   £0.00     £18.00
 15000   £0.00     £33.00
 75000   £0.00    £120.00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$0.14
    50   $0.01      $0.70
   100   $0.01      $1.10
  1000   $0.01      $6.00
 10000   $0.00     $50.00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$0.27
    25   $0.02      $0.55
    50   $0.02      $0.80
   100   $0.01      $1.10
 15000   $0.00     $60.00</t>
        </r>
      </text>
    </comment>
    <comment ref="P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£2.18
   100   £0.14     £13.70
   150   £0.14     £20.55
   500   £0.10     £51.50
  2500   £0.07    £181.75
  7500   £0.06    £454.50
 15000   £0.06    £891.00
 75000   £0.05  £3,825.00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$0.42
   200   $0.02      $3.22
   600   $0.02      $9.18
  2000   $0.01     $28.80
 10000   $0.01    $141.00
 20000   $0.01    $278.00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$0.12      $1.21
    25   $0.11      $2.82
    50   $0.10      $5.25
   100   $0.10      $9.70
 15000   $0.05    $810.00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$1.29
    50   $0.08      $3.88
   100   $0.07      $6.56
   500   $0.04     $22.42
  1000   $0.04     $39.68
  2500   $0.04     $94.88
  5000   $0.03    $172.50
 10000   $0.03    $327.80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£0.14      £1.43
   100   £0.08      £8.17
   150   £0.08     £12.25
   500   £0.06     £31.10
  2500   £0.05    £115.25
  5000   £0.04    £190.50
 10000   £0.03    £318.00
 50000   £0.03  £1,360.00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$0.61
   100   $0.05      $4.53
   300   $0.04     $12.72
  1000   $0.04     $39.50
  5000   $0.04    $191.00
 10000   $0.04    $376.00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$0.08      $0.75
    50   $0.08      $3.75
   100   $0.06      $6.30
  1000   $0.04     $38.00
 10000   $0.03    $310.00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$1.73
    25   $0.14      $3.60
    50   $0.12      $5.80
   100   $0.09      $8.70
 10000   $0.03    $330.00
 20000   $0.03    $640.00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£0.15     £15.10
   150   £0.15     £22.65
   500   £0.08     £42.10
  2500   £0.08    £199.25
  5000   £0.07    £370.00
 10000   £0.07    £718.00
 50000   £0.06  £3,075.00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$0.59
    50   $0.09      $4.30
   150   $0.08     $12.02
   500   $0.07     $37.10
  2500   $0.07    $179.00
  5000   $0.07    $351.50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$0.21      $2.06
    50   $0.21     $10.30
   100   $0.18     $17.70
  1000   $0.11    $112.00
 10000   $0.09    $940.00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
 10000   $0.11  $1,100.00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$0.00      $0.18
   500   $0.00      $1.30
  1500   $0.00      $3.60
  5000   $0.00     $11.00
 25000   $0.00     $55.00
 50000   $0.00    $105.00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$0.02      $1.50
  1000   $0.01      $9.00
 10000   $0.01     $70.00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
 15000   $0.00     $75.00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$0.25      $2.51
   100   $0.14     $14.20
   500   $0.09     $47.02
  1000   $0.07     $72.10
  2000   $0.06    $125.40
  5000   $0.06    $282.15
 10000   $0.05    $501.60
 30000   $0.05  $1,410.90
 50000   $0.04  $2,085.00
100000   $0.04  $4,125.00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£0.04    £420.00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$0.26      $2.55
    50   $0.26     $12.75
   100   $0.14     $13.80
  1000   $0.08     $84.00
 10000   $0.06    $580.00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$1.80
    10   $0.28      $2.76
   100   $0.15     $15.40
   500   $0.14     $68.00
  1000   $0.12    $118.00
  2500   $0.10    $257.50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$0.25      $2.49
   100   $0.11     $11.17
   500   $0.10     $50.46
  1000   $0.08     $82.89
  2000   $0.07    $144.16
  4000   $0.07    $288.32
  8000   $0.06    $518.96
 12000   $0.06    $691.92
 28000   $0.05  $1,513.68
100000   $0.05  $5,100.00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£0.07    £278.00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$0.26      $2.57
    50   $0.26     $12.85
   100   $0.10     $10.40
  1000   $0.09     $86.00
 10000   $0.05    $540.00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$0.25      $6.22
    50   $0.18      $9.00
   100   $0.11     $11.10
   250   $0.11     $26.50
   500   $0.10     $50.00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£0.66
    25   £0.12      £2.91
   100   £0.07      £7.35
   500   £0.06     £28.80
  4000   £0.04    £172.80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£0.35      £0.35
    25   £0.18      £4.55
    50   £0.16      £7.80
   100   £0.13     £12.90
   250   £0.09     £22.05
   500   £0.08     £38.75
  1000   £0.06     £61.50
  2500   £0.06    £149.25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$0.26      $2.65
    50   $0.26     $13.25
   100   $0.11     $10.70
  1000   $0.09     $88.00
 10000   $0.06    $560.00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£0.66
    25   £0.10      £2.55
   100   £0.07      £7.35
   500   £0.05     £27.30
  4000   £0.04    £157.20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$1.57
    25   $0.13      $3.35
    50   $0.12      $5.86
   100   $0.11     $10.89
   250   $0.10     $24.08
   500   $0.09     $46.07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AB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$0.25      $2.49
    30   $0.23      $6.93
   100   $0.21     $20.74
   500   $0.20     $98.30
  1000   $0.19    $194.80</t>
        </r>
      </text>
    </comment>
    <comment ref="P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$0.02      $1.25
   100   $0.01      $0.80
  1000   $0.00      $5.00
 10000   $0.00     $30.00</t>
        </r>
      </text>
    </comment>
    <comment ref="AJ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£0.00    £345.00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$0.14
    50   $0.01      $0.70
   100   $0.01      $0.60
  1000   $0.00      $5.00
 10000   $0.00     $30.00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25   $0.02      $0.52
   100   $0.01      $0.90
   250   $0.01      $2.00
   500   $0.01      $3.50
  1000   $0.01      $6.00
  2500   $0.00     $12.50
  5000   $0.00     $20.00
 15000   $0.01     $90.00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£75.00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£192.00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$0.98
   500   $0.02      $7.55
  1500   $0.01     $21.45
  5000   $0.01     $67.50
 25000   $0.01    $327.50
 50000   $0.01    $645.00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45000   $0.00    $180.00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£1.55
    50   £0.15      £7.30
   100   £0.13     £13.30
   500   £0.12     £61.50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$0.14      $1.44
    30   $0.13      $4.01
   100   $0.12     $12.35
   500   $0.12     $59.55
  1000   $0.12    $116.90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50   $0.19      $9.70
   100   $0.17     $17.30
  1000   $0.12    $119.00
 10000   $0.12  $1,190.00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8500   $0.16  $1,377.00
100000   $0.14 $13,600.00</t>
        </r>
      </text>
    </comment>
    <comment ref="AV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£0.82
   100   £0.14     £13.86
  1000   £0.10     £95.30
  3000   £0.08    £254.70
  8500   £0.08    £707.20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$0.26      $2.58
    25   $0.23      $5.64
   100   $0.15     $14.60
   250   $0.12     $30.21
   500   $0.10     $48.34
  1000   $0.07     $74.12
  3000   $0.06    $193.35
  6000   $0.06    $348.00
 15000   $0.05    $773.40
 30000   $0.05  $1,450.20
 75000   $0.05  $3,420.00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£0.33      £1.67
    10   £0.22      £2.24
   100   £0.09      £8.86
   500   £0.06     £27.55
  3000   £0.04    £130.20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$0.17     $17.20
  1000   $0.10     $99.00
 10000   $0.07    $680.00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$0.31      $1.56
    10   $0.24      $2.40
    25   $0.16      $4.10
    50   $0.14      $6.80
   100   $0.11     $11.40
   250   $0.09     $22.75
   500   $0.08     $38.00
  1000   $0.06     $63.00
  3000   $0.05    $150.00
 12000   $0.05    $600.00
 18000   $0.04    $756.00
 48000   $0.04  $1,824.00
 90000   $0.04  $3,240.00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£0.03     £81.00
  9000   £0.03    £279.00
 24000   £0.03    £720.00
 45000   £0.03  £1,305.00
 99000   £0.03  £2,772.00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$0.44      $4.38
    25   $0.40     $10.03
   100   $0.30     $29.85
   250   $0.27     $67.63
   500   $0.22    $111.94
  1000   $0.17    $167.90
  3000   $0.15    $461.73
  6000   $0.14    $867.48
 15000   $0.14  $2,028.90
 30000   $0.13  $3,960.00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£0.42      £2.11
    10   £0.31      £3.09
   100   £0.14     £14.20
   150   £0.14     £21.30
   500   £0.10     £52.50
  3000   £0.09    £274.20
  9000   £0.09    £793.80
 24000   £0.09  £2,042.40
 45000   £0.08  £3,762.00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$4.03
    50   $0.40     $20.15
   100   $0.28     $27.90
  1000   $0.18    $183.00
 10000   $0.15  $1,460.00</t>
        </r>
      </text>
    </comment>
    <comment ref="AL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$0.58      $2.91
    10   $0.45      $4.47
    25   $0.37      $9.30
    50   $0.31     $15.65
   100   $0.26     $26.20
   250   $0.22     $55.75
   500   $0.18     $91.00
  1000   $0.16    $155.00
  3000   $0.14    $423.00
  6000   $0.13    $792.00
 12000   $0.12  $1,452.00
 18000   $0.12  $2,178.00
 24000   $0.12  $2,880.00
 30000   $0.12  $3,600.00
300000   $0.12 $36,000.00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£0.11    £330.00</t>
        </r>
      </text>
    </comment>
    <comment ref="P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$1.34  $2,672.00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$1.05     $10.50
    30   $0.98     $29.48
   100   $0.92     $91.61
   500   $0.89    $442.75
  1000   $0.87    $871.00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$22.50
    50   $2.12    $106.00
   100   $1.61    $161.00
  1000   $1.30  $1,300.00
 10000   $1.11 $11,100.00</t>
        </r>
      </text>
    </comment>
    <comment ref="P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$3.54      $3.54
    10   $3.50     $35.00</t>
        </r>
      </text>
    </comment>
    <comment ref="U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£2.90      £2.90
    10   £2.17     £21.70
    25   £2.05     £51.25
    50   £1.92     £96.00
   100   £1.80    £180.00
   250   £1.61    £402.50
   500   £1.54    £770.00
  1000   £1.28  £1,280.00</t>
        </r>
      </text>
    </comment>
    <comment ref="AE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$3.58      $3.58
    10   $3.22     $32.20
    50   $3.04    $152.00
   100   $2.64    $264.00
  1000   $2.55  $2,550.00
 10000   $2.54 $25,400.00</t>
        </r>
      </text>
    </comment>
    <comment ref="AJ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$3.83      $3.83
    10   $3.13     $31.30
    25   $2.94     $73.50
    50   $2.76    $138.00
   100   $2.58    $258.00
   250   $2.31    $577.50
  2450   $2.31  $5,659.50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$2.08
    25   $0.20      $4.96
    50   $0.19      $9.60
   100   $0.19     $18.56
   250   $0.18     $44.00
   500   $0.15     $73.60
  1000   $0.11    $114.24
  4000   $0.11    $435.20
  8000   $0.10    $819.20
 12000   $0.10  $1,152.00
 28000   $0.09  $2,508.80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£0.24      £1.18
    10   £0.20      £2.00
   100   £0.14     £13.70
   150   £0.14     £20.55
   500   £0.10     £52.00
  4000   £0.10    £389.20
 12000   £0.09  £1,129.20
 32000   £0.09  £2,944.00
 60000   £0.09  £5,322.00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$0.35      $3.51
    50   $0.35     $17.55
   100   $0.21     $21.10
  1000   $0.13    $133.00
 10000   $0.11  $1,060.00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$2.18
   100   $0.20     $19.60
  4000   $0.13    $524.00
  6000   $0.12    $702.00
  8000   $0.13  $1,064.00
 12000   $0.11  $1,272.00
 18000   $0.10  $1,764.00
 30000   $0.09  $2,730.00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£0.15      £7.35
   100   £0.11     £11.30
  1000   £0.11    £109.00
  4000   £0.10    £408.00
  8000   £0.09    £736.00</t>
        </r>
      </text>
    </comment>
    <comment ref="AV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£0.82
    25   £0.15      £3.68
   100   £0.13     £13.00
   500   £0.12     £58.48
  2000   £0.11    £218.32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$1.57     $15.66
    25   $1.52     $38.08
    50   $1.52     $75.77
   100   $1.35    $135.47
   250   $1.35    $337.68
   500   $1.33    $665.17
  1000   $1.27  $1,273.87
  5000   $1.19  $5,930.05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$1.90      $1.90
    10   $1.82     $18.19
    50   $1.78     $88.82
   100   $1.52    $152.26
   500   $1.48    $740.16
  1000   $1.25  $1,247.70
  3000   $1.18  $3,552.78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$1.82      $1.82
    10   $1.74     $17.40
    50   $1.69     $84.50
   100   $1.46    $146.00
  1000   $1.28  $1,280.00
 10000   $1.09 $10,900.00</t>
        </r>
      </text>
    </comment>
    <comment ref="I37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<sst xmlns="http://schemas.openxmlformats.org/spreadsheetml/2006/main" count="518" uniqueCount="294">
  <si>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</si>
  <si>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</si>
  <si>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</si>
  <si>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</si>
  <si>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</si>
  <si>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</si>
  <si>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</si>
  <si>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</si>
  <si>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</si>
  <si>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</si>
  <si>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</si>
  <si>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</si>
  <si>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</si>
  <si>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</si>
  <si>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</si>
  <si>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</si>
  <si>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</si>
  <si>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</si>
  <si>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C17</t>
  </si>
  <si>
    <t>10n</t>
  </si>
  <si>
    <t>CAP CER 10nF 6.3V 10% X5R 0201</t>
  </si>
  <si>
    <t>C_0201_0603Metric</t>
  </si>
  <si>
    <t>GRM033R60J103KA01D</t>
  </si>
  <si>
    <t>1.2V DC</t>
  </si>
  <si>
    <t>C2,C8-C10,C15</t>
  </si>
  <si>
    <t>CAP CER 1uF 6.3V 20% X6S 0201</t>
  </si>
  <si>
    <t>GRM033C80J105ME05D</t>
  </si>
  <si>
    <t>C8-C10: 1.55V DC AUDIO
C2,C15: 1.2V DC</t>
  </si>
  <si>
    <t>C20</t>
  </si>
  <si>
    <t>10uF</t>
  </si>
  <si>
    <t>CAP CER 10uF 6.3V 20% X5R 0402</t>
  </si>
  <si>
    <t>GRM155R60J106ME15D</t>
  </si>
  <si>
    <t>C4,C11</t>
  </si>
  <si>
    <t>CAP CER 4.7uF 6.3V 20% X5R 0201</t>
  </si>
  <si>
    <t>GRM035R60J475ME15D</t>
  </si>
  <si>
    <t>3.3V DC DERATED TO 1uF</t>
  </si>
  <si>
    <t>C5-C7,C12-C14,C16,C18,C19,C21</t>
  </si>
  <si>
    <t>0.1uF</t>
  </si>
  <si>
    <t>CAP CER 0.22uF 6.3V 20% X5R 0201</t>
  </si>
  <si>
    <t>GRM033R60J224KE15D</t>
  </si>
  <si>
    <t>C7: 1.55V DC VAG DERATED TO 0.1uF
C5,C6,C12-C14,C18,C19,C21: 3.3V DC DERATED TO 0.1uF
C16: 1.2V DC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</si>
  <si>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</si>
  <si>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</si>
  <si>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</si>
  <si>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</si>
  <si>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</si>
  <si>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</si>
  <si>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</si>
  <si>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SML-LX0201USBC-TR</t>
  </si>
  <si>
    <t>LED BLUE Vf=2.6V If=2mA 15mcd 0201</t>
  </si>
  <si>
    <t>SML-LX0201</t>
  </si>
  <si>
    <t>Lumex</t>
  </si>
  <si>
    <t>D4</t>
  </si>
  <si>
    <t>SML-LX0201UPGC-TR</t>
  </si>
  <si>
    <t>LED GREEN Vf=2.5V If=2mA 100mcd 0201</t>
  </si>
  <si>
    <t>J1,J2</t>
  </si>
  <si>
    <t>Conn_01x04</t>
  </si>
  <si>
    <t>CONN HEADER 4 POS .100" SGL GOLD MATING 5.84mm TAIL 8.13mm</t>
  </si>
  <si>
    <t>PinHeader_1x04_P2.54mm_Vertical_LongTail</t>
  </si>
  <si>
    <t>Sullins</t>
  </si>
  <si>
    <t>PRPC004SACN-RC</t>
  </si>
  <si>
    <t>J3,J4</t>
  </si>
  <si>
    <t>Conn_01x10</t>
  </si>
  <si>
    <t>CONN HEADER 10 POS .100" SGL GOLD MATING 5.84mm TAIL 3.05mm</t>
  </si>
  <si>
    <t>PinHeader_1x10_P2.54mm_Vertical</t>
  </si>
  <si>
    <t>PRPC010SAAN-RC</t>
  </si>
  <si>
    <t>J5</t>
  </si>
  <si>
    <t>TYPE-C-31-M-12</t>
  </si>
  <si>
    <t>CONN USB-C</t>
  </si>
  <si>
    <t>USB_C_Receptacle_HRO_TYPE-C-31-M-12</t>
  </si>
  <si>
    <t>HRO</t>
  </si>
  <si>
    <t>R1,R2,R9</t>
  </si>
  <si>
    <t>2.2k</t>
  </si>
  <si>
    <t>RES 2.2kΩ 50mW 5% 0201</t>
  </si>
  <si>
    <t>R_0201_0603Metric</t>
  </si>
  <si>
    <t>Panasonic</t>
  </si>
  <si>
    <t>ERJ-1GNJ222C</t>
  </si>
  <si>
    <t>R12,R13</t>
  </si>
  <si>
    <t>0</t>
  </si>
  <si>
    <t>RES 0Ω 50mW 1% 0201</t>
  </si>
  <si>
    <t>ERJ-1GN0R00C</t>
  </si>
  <si>
    <t>R14</t>
  </si>
  <si>
    <t>22</t>
  </si>
  <si>
    <t>RES 22Ω 50mW 5% 0201</t>
  </si>
  <si>
    <t>ERJ-1GNJ220C</t>
  </si>
  <si>
    <t>R3,R8</t>
  </si>
  <si>
    <t>1.5k</t>
  </si>
  <si>
    <t>RES 1.5kΩ 50mW 5% 0201</t>
  </si>
  <si>
    <t>ERJ-1GNJ152C</t>
  </si>
  <si>
    <t>R4,R5</t>
  </si>
  <si>
    <t>5.1k</t>
  </si>
  <si>
    <t>RES 5.1kΩ 50mW 5% 0201</t>
  </si>
  <si>
    <t>ERJ-1GNJ512C</t>
  </si>
  <si>
    <t>R6</t>
  </si>
  <si>
    <t>100</t>
  </si>
  <si>
    <t>RES 100Ω 50mW 5% 0201</t>
  </si>
  <si>
    <t>ERJ-1GNJ101C</t>
  </si>
  <si>
    <t>R7,R10,R11</t>
  </si>
  <si>
    <t>10k</t>
  </si>
  <si>
    <t>RES 10kΩ 50mW 5% 0201</t>
  </si>
  <si>
    <t>ERJ-1GNJ103C</t>
  </si>
  <si>
    <t>SW1</t>
  </si>
  <si>
    <t>KXT331LHS</t>
  </si>
  <si>
    <t>SW TACT 3.0 x 2.0 mm</t>
  </si>
  <si>
    <t>SW_SPST_CK_KXT3</t>
  </si>
  <si>
    <t>C&amp;K</t>
  </si>
  <si>
    <t>U1</t>
  </si>
  <si>
    <t>NCP115AMX120TCG</t>
  </si>
  <si>
    <t>IC REG LDO 1.2V 300mA XDFN4</t>
  </si>
  <si>
    <t>CASE_711AJ_1.0x1.0mm_P0.65mm</t>
  </si>
  <si>
    <t>ON Semiconductor</t>
  </si>
  <si>
    <t>U2</t>
  </si>
  <si>
    <t>NCP167AMX330TBG</t>
  </si>
  <si>
    <t>IC REG LDO 3.3V 700mA XDFN4</t>
  </si>
  <si>
    <t>U3</t>
  </si>
  <si>
    <t>SN74CBTD16211DGVR</t>
  </si>
  <si>
    <t>IC BUS SWITCH WITH LEVEL SHIFTER TVSOP-56</t>
  </si>
  <si>
    <t>Texas_TVSOP-56_4.4x11.3mm_P0.4mm</t>
  </si>
  <si>
    <t>TI</t>
  </si>
  <si>
    <t>U4</t>
  </si>
  <si>
    <t>SGTL5000XNLA3</t>
  </si>
  <si>
    <t>IC AUDIO CODEC UQFN-20</t>
  </si>
  <si>
    <t>QFN-20-1EP_3x3mm_P0.4mm_EP1.65x1.65mm</t>
  </si>
  <si>
    <t>NXP</t>
  </si>
  <si>
    <t>ALTERNATIVE PART #: SGTL5000XNLA3R2</t>
  </si>
  <si>
    <t>U5</t>
  </si>
  <si>
    <t>NUF2042XV6</t>
  </si>
  <si>
    <t>IC USB TERMINATOR ESD PROTECTION SOT-563</t>
  </si>
  <si>
    <t>CASE_463A_1.6x1.2mm_P0.5mm</t>
  </si>
  <si>
    <t>NUF2042XV6T1G</t>
  </si>
  <si>
    <t>U6</t>
  </si>
  <si>
    <t>APS6404L-3SQR-SN</t>
  </si>
  <si>
    <t>IC PSRAM 64Mbit SOP-8</t>
  </si>
  <si>
    <t>SOP-8_3.9x4.9mm_P1.27mm</t>
  </si>
  <si>
    <t>AP Memory</t>
  </si>
  <si>
    <t>REPLACEMENT PARTS: Lyontek LY68L6400SLIT, Espressif ESP-PSRAM64H, IPUS IPS6404L-SQ</t>
  </si>
  <si>
    <t>U7</t>
  </si>
  <si>
    <t>W25Q128JVPIM</t>
  </si>
  <si>
    <t>IC FLASH 128Mbit WSON-8</t>
  </si>
  <si>
    <t>WSON-8-1EP_6x5mm_P1.27mm_EP3.4x4.3mm</t>
  </si>
  <si>
    <t>Winbond</t>
  </si>
  <si>
    <t>ALTERNATIVE PART #: W25Q128JVPIM TR</t>
  </si>
  <si>
    <t>U8</t>
  </si>
  <si>
    <t>ICE40UP5K-SG48I</t>
  </si>
  <si>
    <t>IC FPGA QFN-48</t>
  </si>
  <si>
    <t>QFN-48-1EP_7x7mm_P0.5mm_EP5.6x5.6mm</t>
  </si>
  <si>
    <t>Lattice</t>
  </si>
  <si>
    <t>X1</t>
  </si>
  <si>
    <t>ECS-1612MV-240-CN-TR</t>
  </si>
  <si>
    <t>OSC 24 MHz 25 ppm 1.6x1.2 mm</t>
  </si>
  <si>
    <t>Oscillator_SMD-4Pin_1.6x1.2mm</t>
  </si>
  <si>
    <t>ECS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</si>
  <si>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</si>
  <si>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</si>
  <si>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</si>
  <si>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</si>
  <si>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</si>
  <si>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</si>
  <si>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</si>
  <si>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</si>
  <si>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</si>
  <si>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sø. 25. april 2021 kl. 18.20 +0200</t>
  </si>
  <si>
    <t>Board Qty:</t>
  </si>
  <si>
    <t>Total Cost:</t>
  </si>
  <si>
    <t>Unit Cost:</t>
  </si>
  <si>
    <t>$ date:</t>
  </si>
  <si>
    <t>2021-04-25 18:20:43</t>
  </si>
  <si>
    <t>Arrow</t>
  </si>
  <si>
    <t>Avail</t>
  </si>
  <si>
    <t>Purch</t>
  </si>
  <si>
    <t>Cat#</t>
  </si>
  <si>
    <t>Buy here</t>
  </si>
  <si>
    <t>Digi-Key</t>
  </si>
  <si>
    <t>490-14595-1-ND</t>
  </si>
  <si>
    <t>NonStk</t>
  </si>
  <si>
    <t>490-5403-1-ND</t>
  </si>
  <si>
    <t>490-13218-1-ND</t>
  </si>
  <si>
    <t>490-13238-1-ND</t>
  </si>
  <si>
    <t>490-13230-1-ND</t>
  </si>
  <si>
    <t>490-10406-1-ND</t>
  </si>
  <si>
    <t>1727-1084-1-ND</t>
  </si>
  <si>
    <t>67-2283-1-ND</t>
  </si>
  <si>
    <t>67-2282-1-ND</t>
  </si>
  <si>
    <t>S1131EC-04-ND</t>
  </si>
  <si>
    <t>S1011EC-10-ND</t>
  </si>
  <si>
    <t>P123277CT-ND</t>
  </si>
  <si>
    <t>P15979CT-ND</t>
  </si>
  <si>
    <t>P123275CT-ND</t>
  </si>
  <si>
    <t>P123246CT-ND</t>
  </si>
  <si>
    <t>P123340CT-ND</t>
  </si>
  <si>
    <t>P123220CT-ND</t>
  </si>
  <si>
    <t>P123222CT-ND</t>
  </si>
  <si>
    <t>CKN10779CT-ND</t>
  </si>
  <si>
    <t>NCP115AMX120TCGOSCT-ND</t>
  </si>
  <si>
    <t>NCP167AMX330TBGOSCT-ND</t>
  </si>
  <si>
    <t>296-6475-2-ND</t>
  </si>
  <si>
    <t>SGTL5000XNLA3-ND</t>
  </si>
  <si>
    <t>NUF2042XV6T1GOSCT-ND</t>
  </si>
  <si>
    <t>W25Q128JVPIM-ND</t>
  </si>
  <si>
    <t>220-2212-1-ND</t>
  </si>
  <si>
    <t>XC2829CT-ND</t>
  </si>
  <si>
    <t>Farnell</t>
  </si>
  <si>
    <t>3581345</t>
  </si>
  <si>
    <t>3243319</t>
  </si>
  <si>
    <t>3582762</t>
  </si>
  <si>
    <t>3582794</t>
  </si>
  <si>
    <t>3238402</t>
  </si>
  <si>
    <t>2990684</t>
  </si>
  <si>
    <t>2191801</t>
  </si>
  <si>
    <t>2775247</t>
  </si>
  <si>
    <t>2775246</t>
  </si>
  <si>
    <t>3303211</t>
  </si>
  <si>
    <t>2799511</t>
  </si>
  <si>
    <t>3303209</t>
  </si>
  <si>
    <t>3303177</t>
  </si>
  <si>
    <t>3303281</t>
  </si>
  <si>
    <t>3303148</t>
  </si>
  <si>
    <t>3303150</t>
  </si>
  <si>
    <t>3023200</t>
  </si>
  <si>
    <t>3010452</t>
  </si>
  <si>
    <t>2981158</t>
  </si>
  <si>
    <t>2308050</t>
  </si>
  <si>
    <t>2824959</t>
  </si>
  <si>
    <t>LCSC</t>
  </si>
  <si>
    <t>C437523</t>
  </si>
  <si>
    <t>C385023</t>
  </si>
  <si>
    <t>C412251</t>
  </si>
  <si>
    <t>C335103</t>
  </si>
  <si>
    <t>C76931</t>
  </si>
  <si>
    <t>C165948</t>
  </si>
  <si>
    <t>C713500</t>
  </si>
  <si>
    <t>C242159</t>
  </si>
  <si>
    <t>C221822</t>
  </si>
  <si>
    <t>C2683750</t>
  </si>
  <si>
    <t>Mouser</t>
  </si>
  <si>
    <t>81GRM155C81C225KE1D</t>
  </si>
  <si>
    <t>81GRM033R60J103KA1D</t>
  </si>
  <si>
    <t>81GRM155R60J106ME5D</t>
  </si>
  <si>
    <t>81GRM035R60J475ME5D</t>
  </si>
  <si>
    <t>81GRM33R60J224KE15D</t>
  </si>
  <si>
    <t>771PMEG2010BELD,315</t>
  </si>
  <si>
    <t>696SMLLX0201USBCTR</t>
  </si>
  <si>
    <t>696SMLLX0201UPGCTR</t>
  </si>
  <si>
    <t>667ERJ1GNJ222C</t>
  </si>
  <si>
    <t>667ERJ1GN0R00C</t>
  </si>
  <si>
    <t>667ERJ1GNJ220C</t>
  </si>
  <si>
    <t>667ERJ1GNJ152C</t>
  </si>
  <si>
    <t>667ERJ1GNJ512C</t>
  </si>
  <si>
    <t>667ERJ1GNJ101C</t>
  </si>
  <si>
    <t>667ERJ1GNJ103C</t>
  </si>
  <si>
    <t>611KXT331LHS</t>
  </si>
  <si>
    <t>863NCP115AMX120TCG</t>
  </si>
  <si>
    <t>863NCP167AMX330TBG</t>
  </si>
  <si>
    <t>59574CBTD16211DGVR</t>
  </si>
  <si>
    <t>841SGTL5000XNLA3</t>
  </si>
  <si>
    <t>863NUF2042XV6T1G</t>
  </si>
  <si>
    <t>842ICE40UP5KSG48I</t>
  </si>
  <si>
    <t>5201612MV240CNT</t>
  </si>
  <si>
    <t>Newark</t>
  </si>
  <si>
    <t>92AH5000</t>
  </si>
  <si>
    <t>92AH8251</t>
  </si>
  <si>
    <t>03AJ1531</t>
  </si>
  <si>
    <t>03AJ1576</t>
  </si>
  <si>
    <t>34AH0743</t>
  </si>
  <si>
    <t>94AC8892</t>
  </si>
  <si>
    <t>55W4407</t>
  </si>
  <si>
    <t>30AC6125</t>
  </si>
  <si>
    <t>30AC6124</t>
  </si>
  <si>
    <t>51W5827</t>
  </si>
  <si>
    <t>51W5934</t>
  </si>
  <si>
    <t>51W5825</t>
  </si>
  <si>
    <t>51W5889</t>
  </si>
  <si>
    <t>51W5773</t>
  </si>
  <si>
    <t>23AC4811</t>
  </si>
  <si>
    <t>39AH6821</t>
  </si>
  <si>
    <t>97AC7838</t>
  </si>
  <si>
    <t>84AC7230</t>
  </si>
  <si>
    <t>14R9111</t>
  </si>
  <si>
    <t>46AC1428</t>
  </si>
  <si>
    <t>RS Components</t>
  </si>
  <si>
    <t>1851581</t>
  </si>
  <si>
    <t>1797111</t>
  </si>
  <si>
    <t>1755716</t>
  </si>
  <si>
    <t>1797106</t>
  </si>
  <si>
    <t>1797101</t>
  </si>
  <si>
    <t>1797103</t>
  </si>
  <si>
    <t>1861230</t>
  </si>
  <si>
    <t>1858072</t>
  </si>
  <si>
    <t>8051879</t>
  </si>
  <si>
    <t>TME</t>
  </si>
  <si>
    <t>SMLLX0201USBCTR</t>
  </si>
  <si>
    <t>SMLLX0201UPGCTR</t>
  </si>
  <si>
    <t>KXT331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</si>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</sst>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c=1&amp;ai=8078&amp;sig=0de3de3&amp;sid=459&amp;ppid=46692789&amp;vpid=410305221&amp;ct=offers" TargetMode="External"/><Relationship Id="rId3" Type="http://schemas.openxmlformats.org/officeDocument/2006/relationships/hyperlink" Target="https://octopart.com/click/track?ai=8078&amp;sig=0d8f33b&amp;sid=11744&amp;ppid=46692789&amp;vpid=667012154&amp;ct=offers" TargetMode="External"/><Relationship Id="rId4" Type="http://schemas.openxmlformats.org/officeDocument/2006/relationships/hyperlink" Target="https://octopart.com/click/track?ai=8078&amp;sig=005ea9f&amp;sid=27971&amp;ppid=46692789&amp;vpid=666930444&amp;ct=offers" TargetMode="External"/><Relationship Id="rId5" Type="http://schemas.openxmlformats.org/officeDocument/2006/relationships/hyperlink" Target="https://octopart.com/click/track?c=1&amp;ai=8078&amp;sig=06521e3&amp;sid=2401&amp;ppid=46692789&amp;vpid=230758256&amp;ct=offers" TargetMode="External"/><Relationship Id="rId6" Type="http://schemas.openxmlformats.org/officeDocument/2006/relationships/hyperlink" Target="https://octopart.com/click/track?ai=8078&amp;sig=0849c23&amp;sid=2402&amp;ppid=46692789&amp;vpid=669036303&amp;ct=offers" TargetMode="External"/><Relationship Id="rId7" Type="http://schemas.openxmlformats.org/officeDocument/2006/relationships/hyperlink" Target="https://www.murata.com/products/productdetail.aspx?partno=GRM033R60J103KA01D" TargetMode="External"/><Relationship Id="rId8" Type="http://schemas.openxmlformats.org/officeDocument/2006/relationships/hyperlink" Target="https://octopart.com/click/track?ai=8078&amp;sig=0eb3513&amp;sid=459&amp;ppid=17705771&amp;vpid=34233074&amp;ct=offers" TargetMode="External"/><Relationship Id="rId9" Type="http://schemas.openxmlformats.org/officeDocument/2006/relationships/hyperlink" Target="https://octopart.com/click/track?ai=8078&amp;sig=085ab43&amp;sid=11744&amp;ppid=17705771&amp;vpid=667940842&amp;ct=offers" TargetMode="External"/><Relationship Id="rId10" Type="http://schemas.openxmlformats.org/officeDocument/2006/relationships/hyperlink" Target="https://octopart.com/click/track?ai=8078&amp;sig=049a764&amp;sid=2401&amp;ppid=17705771&amp;vpid=37711093&amp;ct=offers" TargetMode="External"/><Relationship Id="rId11" Type="http://schemas.openxmlformats.org/officeDocument/2006/relationships/hyperlink" Target="https://octopart.com/click/track?ai=8078&amp;sig=0fb8275&amp;sid=2402&amp;ppid=17705771&amp;vpid=669843213&amp;ct=offers" TargetMode="External"/><Relationship Id="rId12" Type="http://schemas.openxmlformats.org/officeDocument/2006/relationships/hyperlink" Target="https://www.murata.com/products/productdetail.aspx?partno=GRM033C80J105ME05D" TargetMode="External"/><Relationship Id="rId13" Type="http://schemas.openxmlformats.org/officeDocument/2006/relationships/hyperlink" Target="https://octopart.com/click/track?c=1&amp;ai=8078&amp;sig=07524e2&amp;sid=459&amp;ppid=71220979&amp;vpid=252726184&amp;ct=offers" TargetMode="External"/><Relationship Id="rId14" Type="http://schemas.openxmlformats.org/officeDocument/2006/relationships/hyperlink" Target="https://octopart.com/click/track?c=1&amp;ai=8078&amp;sig=013a2f0&amp;sid=819&amp;ppid=71220979&amp;vpid=670691828&amp;ct=offers" TargetMode="External"/><Relationship Id="rId15" Type="http://schemas.openxmlformats.org/officeDocument/2006/relationships/hyperlink" Target="https://octopart.com/click/track?ai=8078&amp;sig=05d4785&amp;sid=27971&amp;ppid=71220979&amp;vpid=552547217&amp;ct=offers" TargetMode="External"/><Relationship Id="rId16" Type="http://schemas.openxmlformats.org/officeDocument/2006/relationships/hyperlink" Target="https://octopart.com/click/track?c=1&amp;ai=8078&amp;sig=0e14f17&amp;sid=2402&amp;ppid=71220979&amp;vpid=671481163&amp;ct=offers" TargetMode="External"/><Relationship Id="rId17" Type="http://schemas.openxmlformats.org/officeDocument/2006/relationships/hyperlink" Target="https://www.murata.com/products/productdetail.aspx?partno=GRM155R60J106ME15D" TargetMode="External"/><Relationship Id="rId18" Type="http://schemas.openxmlformats.org/officeDocument/2006/relationships/hyperlink" Target="https://octopart.com/click/track?ai=8078&amp;sig=018ad6b&amp;sid=459&amp;ppid=71220998&amp;vpid=252726526&amp;ct=offers" TargetMode="External"/><Relationship Id="rId19" Type="http://schemas.openxmlformats.org/officeDocument/2006/relationships/hyperlink" Target="https://octopart.com/click/track?c=1&amp;ai=8078&amp;sig=0115312&amp;sid=819&amp;ppid=71220998&amp;vpid=670691894&amp;ct=offers" TargetMode="External"/><Relationship Id="rId20" Type="http://schemas.openxmlformats.org/officeDocument/2006/relationships/hyperlink" Target="https://octopart.com/click/track?ai=8078&amp;sig=0543bf4&amp;sid=27971&amp;ppid=71220998&amp;vpid=582946846&amp;ct=offers" TargetMode="External"/><Relationship Id="rId21" Type="http://schemas.openxmlformats.org/officeDocument/2006/relationships/hyperlink" Target="https://octopart.com/click/track?ai=8078&amp;sig=0b273d0&amp;sid=2401&amp;ppid=71220998&amp;vpid=259388278&amp;ct=offers" TargetMode="External"/><Relationship Id="rId22" Type="http://schemas.openxmlformats.org/officeDocument/2006/relationships/hyperlink" Target="https://octopart.com/click/track?c=1&amp;ai=8078&amp;sig=0c372ee&amp;sid=2402&amp;ppid=71220998&amp;vpid=671481195&amp;ct=offers" TargetMode="External"/><Relationship Id="rId23" Type="http://schemas.openxmlformats.org/officeDocument/2006/relationships/hyperlink" Target="https://www.murata.com/products/productdetail.aspx?partno=GRM035R60J475ME15D" TargetMode="External"/><Relationship Id="rId24" Type="http://schemas.openxmlformats.org/officeDocument/2006/relationships/hyperlink" Target="https://octopart.com/click/track?ai=8078&amp;sig=02d1bd9&amp;sid=459&amp;ppid=67141176&amp;vpid=252726416&amp;ct=offers" TargetMode="External"/><Relationship Id="rId25" Type="http://schemas.openxmlformats.org/officeDocument/2006/relationships/hyperlink" Target="https://octopart.com/click/track?ai=8078&amp;sig=087aedd&amp;sid=11744&amp;ppid=67141176&amp;vpid=585909672&amp;ct=offers" TargetMode="External"/><Relationship Id="rId26" Type="http://schemas.openxmlformats.org/officeDocument/2006/relationships/hyperlink" Target="https://octopart.com/click/track?ai=8078&amp;sig=0ec1763&amp;sid=27971&amp;ppid=67141176&amp;vpid=510777411&amp;ct=offers" TargetMode="External"/><Relationship Id="rId27" Type="http://schemas.openxmlformats.org/officeDocument/2006/relationships/hyperlink" Target="https://octopart.com/click/track?ai=8078&amp;sig=0e8e022&amp;sid=2401&amp;ppid=67141176&amp;vpid=262254328&amp;ct=offers" TargetMode="External"/><Relationship Id="rId28" Type="http://schemas.openxmlformats.org/officeDocument/2006/relationships/hyperlink" Target="https://octopart.com/click/track?ai=8078&amp;sig=02cfcbc&amp;sid=2402&amp;ppid=67141176&amp;vpid=587966703&amp;ct=offers" TargetMode="External"/><Relationship Id="rId29" Type="http://schemas.openxmlformats.org/officeDocument/2006/relationships/hyperlink" Target="https://www.murata.com/products/productdetail.aspx?partno=GRM033R60J224KE15D" TargetMode="External"/><Relationship Id="rId30" Type="http://schemas.openxmlformats.org/officeDocument/2006/relationships/hyperlink" Target="https://octopart.com/click/track?ai=8078&amp;sig=0492ec2&amp;sid=459&amp;ppid=51454422&amp;vpid=172161550&amp;ct=offers" TargetMode="External"/><Relationship Id="rId31" Type="http://schemas.openxmlformats.org/officeDocument/2006/relationships/hyperlink" Target="https://octopart.com/click/track?ai=8078&amp;sig=0efc20f&amp;sid=819&amp;ppid=51454422&amp;vpid=528007216&amp;ct=offers" TargetMode="External"/><Relationship Id="rId32" Type="http://schemas.openxmlformats.org/officeDocument/2006/relationships/hyperlink" Target="https://octopart.com/click/track?ai=8078&amp;sig=0f2788c&amp;sid=27971&amp;ppid=51454422&amp;vpid=445986847&amp;ct=offers" TargetMode="External"/><Relationship Id="rId33" Type="http://schemas.openxmlformats.org/officeDocument/2006/relationships/hyperlink" Target="https://octopart.com/click/track?ai=8078&amp;sig=0207666&amp;sid=2401&amp;ppid=51454422&amp;vpid=178169497&amp;ct=offers" TargetMode="External"/><Relationship Id="rId34" Type="http://schemas.openxmlformats.org/officeDocument/2006/relationships/hyperlink" Target="https://octopart.com/click/track?ai=8078&amp;sig=0d37eed&amp;sid=2402&amp;ppid=51454422&amp;vpid=529126546&amp;ct=offers" TargetMode="External"/><Relationship Id="rId35" Type="http://schemas.openxmlformats.org/officeDocument/2006/relationships/hyperlink" Target="https://octopart.com/click/track?ai=8078&amp;sig=0eaea66&amp;sid=10022&amp;ppid=51454422&amp;vpid=562632808&amp;ct=offers" TargetMode="External"/><Relationship Id="rId36" Type="http://schemas.openxmlformats.org/officeDocument/2006/relationships/hyperlink" Target="https://assets.nexperia.com/documents/data-sheet/PMEG2010BELD.pdf" TargetMode="External"/><Relationship Id="rId37" Type="http://schemas.openxmlformats.org/officeDocument/2006/relationships/hyperlink" Target="https://octopart.com/click/track?ai=8078&amp;sig=05f022d&amp;sid=459&amp;ppid=78741408&amp;vpid=417205872&amp;ct=offers" TargetMode="External"/><Relationship Id="rId38" Type="http://schemas.openxmlformats.org/officeDocument/2006/relationships/hyperlink" Target="https://octopart.com/click/track?c=1&amp;ai=8078&amp;sig=0ee080b&amp;sid=819&amp;ppid=78741408&amp;vpid=521253387&amp;ct=offers" TargetMode="External"/><Relationship Id="rId39" Type="http://schemas.openxmlformats.org/officeDocument/2006/relationships/hyperlink" Target="https://octopart.com/click/track?ai=8078&amp;sig=077655c&amp;sid=2401&amp;ppid=78741408&amp;vpid=416182007&amp;ct=offers" TargetMode="External"/><Relationship Id="rId40" Type="http://schemas.openxmlformats.org/officeDocument/2006/relationships/hyperlink" Target="https://octopart.com/click/track?c=1&amp;ai=8078&amp;sig=03a6e2e&amp;sid=2402&amp;ppid=78741408&amp;vpid=511382518&amp;ct=offers" TargetMode="External"/><Relationship Id="rId41" Type="http://schemas.openxmlformats.org/officeDocument/2006/relationships/hyperlink" Target="https://www.lumex.com/datasheet/SML-LX0201USBC-TR" TargetMode="External"/><Relationship Id="rId42" Type="http://schemas.openxmlformats.org/officeDocument/2006/relationships/hyperlink" Target="https://octopart.com/click/track?ai=8078&amp;sig=034beed&amp;sid=459&amp;ppid=84788744&amp;vpid=439727366&amp;ct=offers" TargetMode="External"/><Relationship Id="rId43" Type="http://schemas.openxmlformats.org/officeDocument/2006/relationships/hyperlink" Target="https://octopart.com/click/track?ai=8078&amp;sig=0ff9f3f&amp;sid=11744&amp;ppid=84788744&amp;vpid=441493967&amp;ct=offers" TargetMode="External"/><Relationship Id="rId44" Type="http://schemas.openxmlformats.org/officeDocument/2006/relationships/hyperlink" Target="https://octopart.com/click/track?ai=8078&amp;sig=0210f61&amp;sid=2401&amp;ppid=84788744&amp;vpid=440311376&amp;ct=offers" TargetMode="External"/><Relationship Id="rId45" Type="http://schemas.openxmlformats.org/officeDocument/2006/relationships/hyperlink" Target="https://octopart.com/click/track?ai=8078&amp;sig=0a83003&amp;sid=2402&amp;ppid=84788744&amp;vpid=441141495&amp;ct=offers" TargetMode="External"/><Relationship Id="rId46" Type="http://schemas.openxmlformats.org/officeDocument/2006/relationships/hyperlink" Target="https://octopart.com/click/track?ai=8078&amp;sig=0d0b0e0&amp;sid=1532&amp;ppid=84788744&amp;vpid=709065381&amp;ct=offers" TargetMode="External"/><Relationship Id="rId47" Type="http://schemas.openxmlformats.org/officeDocument/2006/relationships/hyperlink" Target="https://www.lumex.com/datasheet/SML-LX0201UPGC-TR" TargetMode="External"/><Relationship Id="rId48" Type="http://schemas.openxmlformats.org/officeDocument/2006/relationships/hyperlink" Target="https://octopart.com/click/track?ai=8078&amp;sig=055564d&amp;sid=459&amp;ppid=84788743&amp;vpid=439727363&amp;ct=offers" TargetMode="External"/><Relationship Id="rId49" Type="http://schemas.openxmlformats.org/officeDocument/2006/relationships/hyperlink" Target="https://octopart.com/click/track?ai=8078&amp;sig=0d58308&amp;sid=11744&amp;ppid=84788743&amp;vpid=441493966&amp;ct=offers" TargetMode="External"/><Relationship Id="rId50" Type="http://schemas.openxmlformats.org/officeDocument/2006/relationships/hyperlink" Target="https://octopart.com/click/track?ai=8078&amp;sig=0bea5b7&amp;sid=2401&amp;ppid=84788743&amp;vpid=440311375&amp;ct=offers" TargetMode="External"/><Relationship Id="rId51" Type="http://schemas.openxmlformats.org/officeDocument/2006/relationships/hyperlink" Target="https://octopart.com/click/track?ai=8078&amp;sig=00c45d4&amp;sid=2402&amp;ppid=84788743&amp;vpid=441141494&amp;ct=offers" TargetMode="External"/><Relationship Id="rId52" Type="http://schemas.openxmlformats.org/officeDocument/2006/relationships/hyperlink" Target="https://octopart.com/click/track?ai=8078&amp;sig=0371ed3&amp;sid=1532&amp;ppid=84788743&amp;vpid=709065379&amp;ct=offers" TargetMode="External"/><Relationship Id="rId53" Type="http://schemas.openxmlformats.org/officeDocument/2006/relationships/hyperlink" Target="https://drawings-pdf.s3.amazonaws.com/11635.pdf" TargetMode="External"/><Relationship Id="rId54" Type="http://schemas.openxmlformats.org/officeDocument/2006/relationships/hyperlink" Target="https://octopart.com/click/track?c=1&amp;ai=8078&amp;sig=06b804c&amp;sid=459&amp;ppid=22265616&amp;vpid=47550602&amp;ct=offers" TargetMode="External"/><Relationship Id="rId55" Type="http://schemas.openxmlformats.org/officeDocument/2006/relationships/hyperlink" Target="https://drawings-pdf.s3.amazonaws.com/11635.pdf" TargetMode="External"/><Relationship Id="rId56" Type="http://schemas.openxmlformats.org/officeDocument/2006/relationships/hyperlink" Target="https://octopart.com/click/track?c=1&amp;ai=8078&amp;sig=02f1022&amp;sid=459&amp;ppid=22265699&amp;vpid=47550685&amp;ct=offers" TargetMode="External"/><Relationship Id="rId57" Type="http://schemas.openxmlformats.org/officeDocument/2006/relationships/hyperlink" Target="http://www.krhro.com/uploads/soft/180320/1-1P320120243.pdf" TargetMode="External"/><Relationship Id="rId58" Type="http://schemas.openxmlformats.org/officeDocument/2006/relationships/hyperlink" Target="https://octopart.com/click/track?ai=8078&amp;sig=0bf3cd2&amp;sid=27971&amp;ppid=99357592&amp;vpid=531406307&amp;ct=offers" TargetMode="External"/><Relationship Id="rId59" Type="http://schemas.openxmlformats.org/officeDocument/2006/relationships/hyperlink" Target="https://b2b-api.panasonic.eu/file_stream/pids/fileversion/1242" TargetMode="External"/><Relationship Id="rId60" Type="http://schemas.openxmlformats.org/officeDocument/2006/relationships/hyperlink" Target="https://octopart.com/click/track?c=1&amp;ai=8078&amp;sig=0d2c7b0&amp;sid=459&amp;ppid=44403350&amp;vpid=465235292&amp;ct=offers" TargetMode="External"/><Relationship Id="rId61" Type="http://schemas.openxmlformats.org/officeDocument/2006/relationships/hyperlink" Target="https://octopart.com/click/track?c=1&amp;ai=8078&amp;sig=098df08&amp;sid=819&amp;ppid=44403350&amp;vpid=603690887&amp;ct=offers" TargetMode="External"/><Relationship Id="rId62" Type="http://schemas.openxmlformats.org/officeDocument/2006/relationships/hyperlink" Target="https://octopart.com/click/track?ai=8078&amp;sig=07d1d1b&amp;sid=2401&amp;ppid=44403350&amp;vpid=248150297&amp;ct=offers" TargetMode="External"/><Relationship Id="rId63" Type="http://schemas.openxmlformats.org/officeDocument/2006/relationships/hyperlink" Target="https://octopart.com/click/track?c=1&amp;ai=8078&amp;sig=01bc52e&amp;sid=2402&amp;ppid=44403350&amp;vpid=632042349&amp;ct=offers" TargetMode="External"/><Relationship Id="rId64" Type="http://schemas.openxmlformats.org/officeDocument/2006/relationships/hyperlink" Target="https://octopart.com/click/track?ai=8078&amp;sig=07954d2&amp;sid=10022&amp;ppid=44403350&amp;vpid=527534079&amp;ct=offers" TargetMode="External"/><Relationship Id="rId65" Type="http://schemas.openxmlformats.org/officeDocument/2006/relationships/hyperlink" Target="https://b2b-api.panasonic.eu/file_stream/pids/fileversion/1242" TargetMode="External"/><Relationship Id="rId66" Type="http://schemas.openxmlformats.org/officeDocument/2006/relationships/hyperlink" Target="https://octopart.com/click/track?ai=8078&amp;sig=06e3983&amp;sid=459&amp;ppid=16432844&amp;vpid=73994004&amp;ct=offers" TargetMode="External"/><Relationship Id="rId67" Type="http://schemas.openxmlformats.org/officeDocument/2006/relationships/hyperlink" Target="https://octopart.com/click/track?c=1&amp;ai=8078&amp;sig=0993eba&amp;sid=11744&amp;ppid=16432844&amp;vpid=709673718&amp;ct=offers" TargetMode="External"/><Relationship Id="rId68" Type="http://schemas.openxmlformats.org/officeDocument/2006/relationships/hyperlink" Target="https://octopart.com/click/track?ai=8078&amp;sig=06ab724&amp;sid=2401&amp;ppid=16432844&amp;vpid=41840075&amp;ct=offers" TargetMode="External"/><Relationship Id="rId69" Type="http://schemas.openxmlformats.org/officeDocument/2006/relationships/hyperlink" Target="https://octopart.com/click/track?ai=8078&amp;sig=03714c0&amp;sid=2402&amp;ppid=16432844&amp;vpid=87993748&amp;ct=offers" TargetMode="External"/><Relationship Id="rId70" Type="http://schemas.openxmlformats.org/officeDocument/2006/relationships/hyperlink" Target="https://octopart.com/click/track?ai=8078&amp;sig=03492ea&amp;sid=10022&amp;ppid=16432844&amp;vpid=501237966&amp;ct=offers" TargetMode="External"/><Relationship Id="rId71" Type="http://schemas.openxmlformats.org/officeDocument/2006/relationships/hyperlink" Target="https://b2b-api.panasonic.eu/file_stream/pids/fileversion/1242" TargetMode="External"/><Relationship Id="rId72" Type="http://schemas.openxmlformats.org/officeDocument/2006/relationships/hyperlink" Target="https://octopart.com/click/track?c=1&amp;ai=8078&amp;sig=04cd504&amp;sid=459&amp;ppid=42505965&amp;vpid=465235288&amp;ct=offers" TargetMode="External"/><Relationship Id="rId73" Type="http://schemas.openxmlformats.org/officeDocument/2006/relationships/hyperlink" Target="https://octopart.com/click/track?c=1&amp;ai=8078&amp;sig=0433a1d&amp;sid=819&amp;ppid=42505965&amp;vpid=603690885&amp;ct=offers" TargetMode="External"/><Relationship Id="rId74" Type="http://schemas.openxmlformats.org/officeDocument/2006/relationships/hyperlink" Target="https://octopart.com/click/track?ai=8078&amp;sig=0d716f6&amp;sid=2401&amp;ppid=42505965&amp;vpid=165486571&amp;ct=offers" TargetMode="External"/><Relationship Id="rId75" Type="http://schemas.openxmlformats.org/officeDocument/2006/relationships/hyperlink" Target="https://octopart.com/click/track?c=1&amp;ai=8078&amp;sig=0965e6c&amp;sid=2402&amp;ppid=42505965&amp;vpid=524371516&amp;ct=offers" TargetMode="External"/><Relationship Id="rId76" Type="http://schemas.openxmlformats.org/officeDocument/2006/relationships/hyperlink" Target="https://b2b-api.panasonic.eu/file_stream/pids/fileversion/1242" TargetMode="External"/><Relationship Id="rId77" Type="http://schemas.openxmlformats.org/officeDocument/2006/relationships/hyperlink" Target="https://octopart.com/click/track?ai=8078&amp;sig=06f5537&amp;sid=459&amp;ppid=55940368&amp;vpid=465235230&amp;ct=offers" TargetMode="External"/><Relationship Id="rId78" Type="http://schemas.openxmlformats.org/officeDocument/2006/relationships/hyperlink" Target="https://octopart.com/click/track?c=1&amp;ai=8078&amp;sig=031cc2c&amp;sid=819&amp;ppid=55940368&amp;vpid=603690856&amp;ct=offers" TargetMode="External"/><Relationship Id="rId79" Type="http://schemas.openxmlformats.org/officeDocument/2006/relationships/hyperlink" Target="https://octopart.com/click/track?ai=8078&amp;sig=01a465a&amp;sid=2401&amp;ppid=55940368&amp;vpid=165486557&amp;ct=offers" TargetMode="External"/><Relationship Id="rId80" Type="http://schemas.openxmlformats.org/officeDocument/2006/relationships/hyperlink" Target="https://octopart.com/click/track?ai=8078&amp;sig=0e8e49e&amp;sid=10022&amp;ppid=55940368&amp;vpid=527534074&amp;ct=offers" TargetMode="External"/><Relationship Id="rId81" Type="http://schemas.openxmlformats.org/officeDocument/2006/relationships/hyperlink" Target="https://b2b-api.panasonic.eu/file_stream/pids/fileversion/1242" TargetMode="External"/><Relationship Id="rId82" Type="http://schemas.openxmlformats.org/officeDocument/2006/relationships/hyperlink" Target="https://octopart.com/click/track?ai=8078&amp;sig=0dd36dc&amp;sid=459&amp;ppid=66942597&amp;vpid=465235418&amp;ct=offers" TargetMode="External"/><Relationship Id="rId83" Type="http://schemas.openxmlformats.org/officeDocument/2006/relationships/hyperlink" Target="https://octopart.com/click/track?c=1&amp;ai=8078&amp;sig=01b939b&amp;sid=819&amp;ppid=66942597&amp;vpid=603690950&amp;ct=offers" TargetMode="External"/><Relationship Id="rId84" Type="http://schemas.openxmlformats.org/officeDocument/2006/relationships/hyperlink" Target="https://octopart.com/click/track?ai=8078&amp;sig=07a33f5&amp;sid=2401&amp;ppid=66942597&amp;vpid=265943161&amp;ct=offers" TargetMode="External"/><Relationship Id="rId85" Type="http://schemas.openxmlformats.org/officeDocument/2006/relationships/hyperlink" Target="https://octopart.com/click/track?c=1&amp;ai=8078&amp;sig=0cb0675&amp;sid=2402&amp;ppid=66942597&amp;vpid=669843420&amp;ct=offers" TargetMode="External"/><Relationship Id="rId86" Type="http://schemas.openxmlformats.org/officeDocument/2006/relationships/hyperlink" Target="https://b2b-api.panasonic.eu/file_stream/pids/fileversion/1242" TargetMode="External"/><Relationship Id="rId87" Type="http://schemas.openxmlformats.org/officeDocument/2006/relationships/hyperlink" Target="https://octopart.com/click/track?ai=8078&amp;sig=080fecf&amp;sid=459&amp;ppid=44403300&amp;vpid=465235178&amp;ct=offers" TargetMode="External"/><Relationship Id="rId88" Type="http://schemas.openxmlformats.org/officeDocument/2006/relationships/hyperlink" Target="https://octopart.com/click/track?c=1&amp;ai=8078&amp;sig=0b30f5a&amp;sid=819&amp;ppid=44403300&amp;vpid=603690830&amp;ct=offers" TargetMode="External"/><Relationship Id="rId89" Type="http://schemas.openxmlformats.org/officeDocument/2006/relationships/hyperlink" Target="https://octopart.com/click/track?ai=8078&amp;sig=08d00b1&amp;sid=27971&amp;ppid=44403300&amp;vpid=669037577&amp;ct=offers" TargetMode="External"/><Relationship Id="rId90" Type="http://schemas.openxmlformats.org/officeDocument/2006/relationships/hyperlink" Target="https://octopart.com/click/track?ai=8078&amp;sig=0e9f721&amp;sid=2401&amp;ppid=44403300&amp;vpid=165486549&amp;ct=offers" TargetMode="External"/><Relationship Id="rId91" Type="http://schemas.openxmlformats.org/officeDocument/2006/relationships/hyperlink" Target="https://octopart.com/click/track?c=1&amp;ai=8078&amp;sig=0f3777c&amp;sid=2402&amp;ppid=44403300&amp;vpid=166626673&amp;ct=offers" TargetMode="External"/><Relationship Id="rId92" Type="http://schemas.openxmlformats.org/officeDocument/2006/relationships/hyperlink" Target="https://octopart.com/click/track?ai=8078&amp;sig=05f26cb&amp;sid=10022&amp;ppid=44403300&amp;vpid=527534069&amp;ct=offers" TargetMode="External"/><Relationship Id="rId93" Type="http://schemas.openxmlformats.org/officeDocument/2006/relationships/hyperlink" Target="https://b2b-api.panasonic.eu/file_stream/pids/fileversion/1242" TargetMode="External"/><Relationship Id="rId94" Type="http://schemas.openxmlformats.org/officeDocument/2006/relationships/hyperlink" Target="https://octopart.com/click/track?ai=8078&amp;sig=0301d78&amp;sid=459&amp;ppid=44322539&amp;vpid=465235182&amp;ct=offers" TargetMode="External"/><Relationship Id="rId95" Type="http://schemas.openxmlformats.org/officeDocument/2006/relationships/hyperlink" Target="https://octopart.com/click/track?c=1&amp;ai=8078&amp;sig=0fd9335&amp;sid=819&amp;ppid=44322539&amp;vpid=603690832&amp;ct=offers" TargetMode="External"/><Relationship Id="rId96" Type="http://schemas.openxmlformats.org/officeDocument/2006/relationships/hyperlink" Target="https://octopart.com/click/track?ai=8078&amp;sig=06c973b&amp;sid=27971&amp;ppid=44322539&amp;vpid=495511688&amp;ct=offers" TargetMode="External"/><Relationship Id="rId97" Type="http://schemas.openxmlformats.org/officeDocument/2006/relationships/hyperlink" Target="https://octopart.com/click/track?ai=8078&amp;sig=0a64394&amp;sid=2401&amp;ppid=44322539&amp;vpid=120580014&amp;ct=offers" TargetMode="External"/><Relationship Id="rId98" Type="http://schemas.openxmlformats.org/officeDocument/2006/relationships/hyperlink" Target="https://octopart.com/click/track?c=1&amp;ai=8078&amp;sig=07aa8d7&amp;sid=2402&amp;ppid=44322539&amp;vpid=477474193&amp;ct=offers" TargetMode="External"/><Relationship Id="rId99" Type="http://schemas.openxmlformats.org/officeDocument/2006/relationships/hyperlink" Target="https://octopart.com/click/track?ai=8078&amp;sig=0dcb783&amp;sid=10022&amp;ppid=44322539&amp;vpid=527534071&amp;ct=offers" TargetMode="External"/><Relationship Id="rId100" Type="http://schemas.openxmlformats.org/officeDocument/2006/relationships/hyperlink" Target="https://www.ckswitches.com/media/1465/kxt3.pdf" TargetMode="External"/><Relationship Id="rId101" Type="http://schemas.openxmlformats.org/officeDocument/2006/relationships/hyperlink" Target="https://octopart.com/click/track?ai=8078&amp;sig=0d4eb4c&amp;sid=459&amp;ppid=81056066&amp;vpid=409558694&amp;ct=offers" TargetMode="External"/><Relationship Id="rId102" Type="http://schemas.openxmlformats.org/officeDocument/2006/relationships/hyperlink" Target="https://octopart.com/click/track?ai=8078&amp;sig=0dffd79&amp;sid=819&amp;ppid=81056066&amp;vpid=573821257&amp;ct=offers" TargetMode="External"/><Relationship Id="rId103" Type="http://schemas.openxmlformats.org/officeDocument/2006/relationships/hyperlink" Target="https://octopart.com/click/track?ai=8078&amp;sig=008adb4&amp;sid=27971&amp;ppid=81056066&amp;vpid=492569844&amp;ct=offers" TargetMode="External"/><Relationship Id="rId104" Type="http://schemas.openxmlformats.org/officeDocument/2006/relationships/hyperlink" Target="https://octopart.com/click/track?ai=8078&amp;sig=025af0b&amp;sid=2401&amp;ppid=81056066&amp;vpid=418675926&amp;ct=offers" TargetMode="External"/><Relationship Id="rId105" Type="http://schemas.openxmlformats.org/officeDocument/2006/relationships/hyperlink" Target="https://octopart.com/click/track?c=1&amp;ai=8078&amp;sig=0497a32&amp;sid=2402&amp;ppid=81056066&amp;vpid=591711210&amp;ct=offers" TargetMode="External"/><Relationship Id="rId106" Type="http://schemas.openxmlformats.org/officeDocument/2006/relationships/hyperlink" Target="https://octopart.com/click/track?ai=8078&amp;sig=098c562&amp;sid=1532&amp;ppid=81056066&amp;vpid=707824130&amp;ct=offers" TargetMode="External"/><Relationship Id="rId107" Type="http://schemas.openxmlformats.org/officeDocument/2006/relationships/hyperlink" Target="https://www.onsemi.com/pdf/datasheet/ncp115-d.pdf" TargetMode="External"/><Relationship Id="rId108" Type="http://schemas.openxmlformats.org/officeDocument/2006/relationships/hyperlink" Target="https://octopart.com/click/track?ai=8078&amp;sig=0a3f4b6&amp;sid=459&amp;ppid=92380524&amp;vpid=530205177&amp;ct=offers" TargetMode="External"/><Relationship Id="rId109" Type="http://schemas.openxmlformats.org/officeDocument/2006/relationships/hyperlink" Target="https://octopart.com/click/track?ai=8078&amp;sig=0e69391&amp;sid=11744&amp;ppid=92380524&amp;vpid=531143297&amp;ct=offers" TargetMode="External"/><Relationship Id="rId110" Type="http://schemas.openxmlformats.org/officeDocument/2006/relationships/hyperlink" Target="https://octopart.com/click/track?ai=8078&amp;sig=036a8af&amp;sid=2401&amp;ppid=92380524&amp;vpid=523401631&amp;ct=offers" TargetMode="External"/><Relationship Id="rId111" Type="http://schemas.openxmlformats.org/officeDocument/2006/relationships/hyperlink" Target="https://octopart.com/click/track?ai=8078&amp;sig=09fcc50&amp;sid=2402&amp;ppid=92380524&amp;vpid=531928826&amp;ct=offers" TargetMode="External"/><Relationship Id="rId112" Type="http://schemas.openxmlformats.org/officeDocument/2006/relationships/hyperlink" Target="https://octopart.com/click/track?ai=8078&amp;sig=0259cbd&amp;sid=10022&amp;ppid=92380524&amp;vpid=562641106&amp;ct=offers" TargetMode="External"/><Relationship Id="rId113" Type="http://schemas.openxmlformats.org/officeDocument/2006/relationships/hyperlink" Target="https://www.onsemi.com/pub/Collateral/NCP167-D.PDF" TargetMode="External"/><Relationship Id="rId114" Type="http://schemas.openxmlformats.org/officeDocument/2006/relationships/hyperlink" Target="https://octopart.com/click/track?ai=8078&amp;sig=08df17c&amp;sid=459&amp;ppid=85869721&amp;vpid=510801591&amp;ct=offers" TargetMode="External"/><Relationship Id="rId115" Type="http://schemas.openxmlformats.org/officeDocument/2006/relationships/hyperlink" Target="https://octopart.com/click/track?ai=8078&amp;sig=03da2a6&amp;sid=11744&amp;ppid=85869721&amp;vpid=511860082&amp;ct=offers" TargetMode="External"/><Relationship Id="rId116" Type="http://schemas.openxmlformats.org/officeDocument/2006/relationships/hyperlink" Target="https://octopart.com/click/track?ai=8078&amp;sig=093fed6&amp;sid=2401&amp;ppid=85869721&amp;vpid=480971673&amp;ct=offers" TargetMode="External"/><Relationship Id="rId117" Type="http://schemas.openxmlformats.org/officeDocument/2006/relationships/hyperlink" Target="https://octopart.com/click/track?ai=8078&amp;sig=061a238&amp;sid=2402&amp;ppid=85869721&amp;vpid=530859240&amp;ct=offers" TargetMode="External"/><Relationship Id="rId118" Type="http://schemas.openxmlformats.org/officeDocument/2006/relationships/hyperlink" Target="https://octopart.com/click/track?ai=8078&amp;sig=004d31c&amp;sid=10022&amp;ppid=85869721&amp;vpid=562641329&amp;ct=offers" TargetMode="External"/><Relationship Id="rId119" Type="http://schemas.openxmlformats.org/officeDocument/2006/relationships/hyperlink" Target="https://www.ti.com/lit/ds/symlink/sn74cbtd16211.pdf" TargetMode="External"/><Relationship Id="rId120" Type="http://schemas.openxmlformats.org/officeDocument/2006/relationships/hyperlink" Target="https://octopart.com/click/track?c=1&amp;ai=8078&amp;sig=0aac5c3&amp;sid=459&amp;ppid=472676&amp;vpid=1588405&amp;ct=offers" TargetMode="External"/><Relationship Id="rId121" Type="http://schemas.openxmlformats.org/officeDocument/2006/relationships/hyperlink" Target="https://octopart.com/click/track?ai=8078&amp;sig=0221cb4&amp;sid=27971&amp;ppid=472676&amp;vpid=696942338&amp;ct=offers" TargetMode="External"/><Relationship Id="rId122" Type="http://schemas.openxmlformats.org/officeDocument/2006/relationships/hyperlink" Target="https://octopart.com/click/track?ai=8078&amp;sig=0681b00&amp;sid=2401&amp;ppid=472676&amp;vpid=46887142&amp;ct=offers" TargetMode="External"/><Relationship Id="rId123" Type="http://schemas.openxmlformats.org/officeDocument/2006/relationships/hyperlink" Target="https://www.nxp.com/docs/en/data-sheet/SGTL5000.pdf" TargetMode="External"/><Relationship Id="rId124" Type="http://schemas.openxmlformats.org/officeDocument/2006/relationships/hyperlink" Target="https://octopart.com/click/track?c=1&amp;ai=8078&amp;sig=0e67bb5&amp;sid=459&amp;ppid=70302733&amp;vpid=248305906&amp;ct=offers" TargetMode="External"/><Relationship Id="rId125" Type="http://schemas.openxmlformats.org/officeDocument/2006/relationships/hyperlink" Target="https://octopart.com/click/track?c=1&amp;ai=8078&amp;sig=0d698c2&amp;sid=11744&amp;ppid=70302733&amp;vpid=247788338&amp;ct=offers" TargetMode="External"/><Relationship Id="rId126" Type="http://schemas.openxmlformats.org/officeDocument/2006/relationships/hyperlink" Target="https://octopart.com/click/track?c=1&amp;ai=8078&amp;sig=047f522&amp;sid=2401&amp;ppid=70302733&amp;vpid=251555959&amp;ct=offers" TargetMode="External"/><Relationship Id="rId127" Type="http://schemas.openxmlformats.org/officeDocument/2006/relationships/hyperlink" Target="https://octopart.com/click/track?c=1&amp;ai=8078&amp;sig=00417c4&amp;sid=2402&amp;ppid=70302733&amp;vpid=270421497&amp;ct=offers" TargetMode="External"/><Relationship Id="rId128" Type="http://schemas.openxmlformats.org/officeDocument/2006/relationships/hyperlink" Target="https://www.onsemi.com/pub/Collateral/NUF2030XV6-D.PDF" TargetMode="External"/><Relationship Id="rId129" Type="http://schemas.openxmlformats.org/officeDocument/2006/relationships/hyperlink" Target="https://octopart.com/click/track?ai=8078&amp;sig=021b9a1&amp;sid=459&amp;ppid=1432420&amp;vpid=34063078&amp;ct=offers" TargetMode="External"/><Relationship Id="rId130" Type="http://schemas.openxmlformats.org/officeDocument/2006/relationships/hyperlink" Target="https://octopart.com/click/track?ai=8078&amp;sig=0f9e80e&amp;sid=11744&amp;ppid=1432420&amp;vpid=464605090&amp;ct=offers" TargetMode="External"/><Relationship Id="rId131" Type="http://schemas.openxmlformats.org/officeDocument/2006/relationships/hyperlink" Target="https://octopart.com/click/track?ai=8078&amp;sig=0bda339&amp;sid=2401&amp;ppid=1432420&amp;vpid=37670933&amp;ct=offers" TargetMode="External"/><Relationship Id="rId132" Type="http://schemas.openxmlformats.org/officeDocument/2006/relationships/hyperlink" Target="https://octopart.com/click/track?ai=8078&amp;sig=02bcbf3&amp;sid=2402&amp;ppid=1432420&amp;vpid=462366243&amp;ct=offers" TargetMode="External"/><Relationship Id="rId133" Type="http://schemas.openxmlformats.org/officeDocument/2006/relationships/hyperlink" Target="https://octopart.com/click/track?ai=8078&amp;sig=0d0b068&amp;sid=10022&amp;ppid=1432420&amp;vpid=199088821&amp;ct=offers" TargetMode="External"/><Relationship Id="rId134" Type="http://schemas.openxmlformats.org/officeDocument/2006/relationships/hyperlink" Target="https://octopart.com/click/track?ai=8078&amp;sig=0871723&amp;sid=1532&amp;ppid=1432420&amp;vpid=709123001&amp;ct=offers" TargetMode="External"/><Relationship Id="rId135" Type="http://schemas.openxmlformats.org/officeDocument/2006/relationships/hyperlink" Target="https://www.apmemory.com/wp-content/uploads/APM_PSRAM_QSPI-APS6404L-3SQR-v2.3-PKG.pdf" TargetMode="External"/><Relationship Id="rId136" Type="http://schemas.openxmlformats.org/officeDocument/2006/relationships/hyperlink" Target="https://www.winbond.com/resource-files/w25q128jv%20revf%2003272018%20plus.pdf" TargetMode="External"/><Relationship Id="rId137" Type="http://schemas.openxmlformats.org/officeDocument/2006/relationships/hyperlink" Target="https://octopart.com/click/track?c=1&amp;ai=8078&amp;sig=027d369&amp;sid=459&amp;ppid=81762594&amp;vpid=420816932&amp;ct=offers" TargetMode="External"/><Relationship Id="rId138" Type="http://schemas.openxmlformats.org/officeDocument/2006/relationships/hyperlink" Target="http://www.latticesemi.com/Products/FPGAandCPLD/iCE40UltraPlus" TargetMode="External"/><Relationship Id="rId139" Type="http://schemas.openxmlformats.org/officeDocument/2006/relationships/hyperlink" Target="https://octopart.com/click/track?c=1&amp;ai=8078&amp;sig=08e94d1&amp;sid=459&amp;ppid=87369311&amp;vpid=495120370&amp;ct=offers" TargetMode="External"/><Relationship Id="rId140" Type="http://schemas.openxmlformats.org/officeDocument/2006/relationships/hyperlink" Target="https://octopart.com/click/track?ai=8078&amp;sig=00e2810&amp;sid=2401&amp;ppid=87369311&amp;vpid=477152809&amp;ct=offers" TargetMode="External"/><Relationship Id="rId141" Type="http://schemas.openxmlformats.org/officeDocument/2006/relationships/hyperlink" Target="https://ecsxtal.com/store/pdf/ECS-1612MV.pdf" TargetMode="External"/><Relationship Id="rId142" Type="http://schemas.openxmlformats.org/officeDocument/2006/relationships/hyperlink" Target="https://octopart.com/click/track?ai=8078&amp;sig=05c5fb9&amp;sid=459&amp;ppid=92690038&amp;vpid=484261531&amp;ct=offers" TargetMode="External"/><Relationship Id="rId143" Type="http://schemas.openxmlformats.org/officeDocument/2006/relationships/hyperlink" Target="https://octopart.com/click/track?ai=8078&amp;sig=02bc147&amp;sid=2401&amp;ppid=92690038&amp;vpid=484581695&amp;ct=offers" TargetMode="External"/><Relationship Id="rId144" Type="http://schemas.openxmlformats.org/officeDocument/2006/relationships/hyperlink" Target="https://www.arrow.com/en/bom-tool/" TargetMode="External"/><Relationship Id="rId145" Type="http://schemas.openxmlformats.org/officeDocument/2006/relationships/hyperlink" Target="https://www.digikey.com/ordering/shoppingcart" TargetMode="External"/><Relationship Id="rId146" Type="http://schemas.openxmlformats.org/officeDocument/2006/relationships/hyperlink" Target="https://www.newark.com/quick-order?isQuickPaste=true" TargetMode="External"/><Relationship Id="rId147" Type="http://schemas.openxmlformats.org/officeDocument/2006/relationships/hyperlink" Target="https://lcsc.com/bom.html" TargetMode="External"/><Relationship Id="rId148" Type="http://schemas.openxmlformats.org/officeDocument/2006/relationships/hyperlink" Target="https://mouser.com/bom/" TargetMode="External"/><Relationship Id="rId149" Type="http://schemas.openxmlformats.org/officeDocument/2006/relationships/hyperlink" Target="https://www.newark.com/quick-order?isQuickPaste=true" TargetMode="External"/><Relationship Id="rId150" Type="http://schemas.openxmlformats.org/officeDocument/2006/relationships/hyperlink" Target="https://uk.rs-online.com/web/mylists/manualQuotes.html?method=showEnquiryCreationPage&amp;mode=new" TargetMode="External"/><Relationship Id="rId151" Type="http://schemas.openxmlformats.org/officeDocument/2006/relationships/hyperlink" Target="https://www.tme.eu/en/Profile/QuickBuy/load.html" TargetMode="External"/><Relationship Id="rId152" Type="http://schemas.openxmlformats.org/officeDocument/2006/relationships/vmlDrawing" Target="../drawings/vmlDrawing1.vml"/><Relationship Id="rId15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7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156</v>
      </c>
      <c r="B1" s="2" t="s">
        <v>157</v>
      </c>
      <c r="I1" s="3" t="s">
        <v>162</v>
      </c>
      <c r="J1" s="3">
        <v>100</v>
      </c>
    </row>
    <row r="2" spans="1:50">
      <c r="A2" s="1" t="s">
        <v>158</v>
      </c>
      <c r="B2" s="2" t="s">
        <v>159</v>
      </c>
      <c r="I2" s="1" t="s">
        <v>164</v>
      </c>
      <c r="J2" s="4">
        <f>TotalCost/BoardQty</f>
        <v>0</v>
      </c>
    </row>
    <row r="3" spans="1:50">
      <c r="A3" s="1" t="s">
        <v>160</v>
      </c>
      <c r="B3" s="2" t="s">
        <v>161</v>
      </c>
      <c r="I3" s="1" t="s">
        <v>163</v>
      </c>
      <c r="J3" s="5">
        <f>SUM(J7:J35)</f>
        <v>0</v>
      </c>
      <c r="N3" s="5">
        <f>SUM(N7:N35)</f>
        <v>0</v>
      </c>
      <c r="O3" s="6">
        <f>(COUNTA(N7:N35)&amp;" of "&amp;ROWS(N7:N35)&amp;" parts found")</f>
        <v>0</v>
      </c>
      <c r="S3" s="5">
        <f>SUM(S7:S35)</f>
        <v>0</v>
      </c>
      <c r="T3" s="6">
        <f>(COUNTA(S7:S35)&amp;" of "&amp;ROWS(S7:S35)&amp;" parts found")</f>
        <v>0</v>
      </c>
      <c r="X3" s="5">
        <f>SUM(X7:X35)</f>
        <v>0</v>
      </c>
      <c r="Y3" s="6">
        <f>(COUNTA(X7:X35)&amp;" of "&amp;ROWS(X7:X35)&amp;" parts found")</f>
        <v>0</v>
      </c>
      <c r="AC3" s="5">
        <f>SUM(AC7:AC35)</f>
        <v>0</v>
      </c>
      <c r="AD3" s="6">
        <f>(COUNTA(AC7:AC35)&amp;" of "&amp;ROWS(AC7:AC35)&amp;" parts found")</f>
        <v>0</v>
      </c>
      <c r="AH3" s="5">
        <f>SUM(AH7:AH35)</f>
        <v>0</v>
      </c>
      <c r="AI3" s="6">
        <f>(COUNTA(AH7:AH35)&amp;" of "&amp;ROWS(AH7:AH35)&amp;" parts found")</f>
        <v>0</v>
      </c>
      <c r="AM3" s="5">
        <f>SUM(AM7:AM35)</f>
        <v>0</v>
      </c>
      <c r="AN3" s="6">
        <f>(COUNTA(AM7:AM35)&amp;" of "&amp;ROWS(AM7:AM35)&amp;" parts found")</f>
        <v>0</v>
      </c>
      <c r="AR3" s="5">
        <f>SUM(AR7:AR35)</f>
        <v>0</v>
      </c>
      <c r="AS3" s="6">
        <f>(COUNTA(AR7:AR35)&amp;" of "&amp;ROWS(AR7:AR35)&amp;" parts found")</f>
        <v>0</v>
      </c>
      <c r="AW3" s="5">
        <f>SUM(AW7:AW35)</f>
        <v>0</v>
      </c>
      <c r="AX3" s="6">
        <f>(COUNTA(AW7:AW35)&amp;" of "&amp;ROWS(AW7:AW35)&amp;" parts found")</f>
        <v>0</v>
      </c>
    </row>
    <row r="4" spans="1:50">
      <c r="A4" s="1" t="s">
        <v>165</v>
      </c>
      <c r="B4" s="2" t="s">
        <v>166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167</v>
      </c>
      <c r="L5" s="8"/>
      <c r="M5" s="8"/>
      <c r="N5" s="8"/>
      <c r="O5" s="8"/>
      <c r="P5" s="9" t="s">
        <v>172</v>
      </c>
      <c r="Q5" s="9"/>
      <c r="R5" s="9"/>
      <c r="S5" s="9"/>
      <c r="T5" s="9"/>
      <c r="U5" s="10" t="s">
        <v>201</v>
      </c>
      <c r="V5" s="10"/>
      <c r="W5" s="10"/>
      <c r="X5" s="10"/>
      <c r="Y5" s="10"/>
      <c r="Z5" s="11" t="s">
        <v>223</v>
      </c>
      <c r="AA5" s="11"/>
      <c r="AB5" s="11"/>
      <c r="AC5" s="11"/>
      <c r="AD5" s="11"/>
      <c r="AE5" s="12" t="s">
        <v>234</v>
      </c>
      <c r="AF5" s="12"/>
      <c r="AG5" s="12"/>
      <c r="AH5" s="12"/>
      <c r="AI5" s="12"/>
      <c r="AJ5" s="13" t="s">
        <v>258</v>
      </c>
      <c r="AK5" s="13"/>
      <c r="AL5" s="13"/>
      <c r="AM5" s="13"/>
      <c r="AN5" s="13"/>
      <c r="AO5" s="14" t="s">
        <v>279</v>
      </c>
      <c r="AP5" s="14"/>
      <c r="AQ5" s="14"/>
      <c r="AR5" s="14"/>
      <c r="AS5" s="14"/>
      <c r="AT5" s="15" t="s">
        <v>289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168</v>
      </c>
      <c r="L6" s="16" t="s">
        <v>169</v>
      </c>
      <c r="M6" s="16" t="s">
        <v>8</v>
      </c>
      <c r="N6" s="16" t="s">
        <v>9</v>
      </c>
      <c r="O6" s="16" t="s">
        <v>170</v>
      </c>
      <c r="P6" s="16" t="s">
        <v>168</v>
      </c>
      <c r="Q6" s="16" t="s">
        <v>169</v>
      </c>
      <c r="R6" s="16" t="s">
        <v>8</v>
      </c>
      <c r="S6" s="16" t="s">
        <v>9</v>
      </c>
      <c r="T6" s="16" t="s">
        <v>170</v>
      </c>
      <c r="U6" s="16" t="s">
        <v>168</v>
      </c>
      <c r="V6" s="16" t="s">
        <v>169</v>
      </c>
      <c r="W6" s="16" t="s">
        <v>8</v>
      </c>
      <c r="X6" s="16" t="s">
        <v>9</v>
      </c>
      <c r="Y6" s="16" t="s">
        <v>170</v>
      </c>
      <c r="Z6" s="16" t="s">
        <v>168</v>
      </c>
      <c r="AA6" s="16" t="s">
        <v>169</v>
      </c>
      <c r="AB6" s="16" t="s">
        <v>8</v>
      </c>
      <c r="AC6" s="16" t="s">
        <v>9</v>
      </c>
      <c r="AD6" s="16" t="s">
        <v>170</v>
      </c>
      <c r="AE6" s="16" t="s">
        <v>168</v>
      </c>
      <c r="AF6" s="16" t="s">
        <v>169</v>
      </c>
      <c r="AG6" s="16" t="s">
        <v>8</v>
      </c>
      <c r="AH6" s="16" t="s">
        <v>9</v>
      </c>
      <c r="AI6" s="16" t="s">
        <v>170</v>
      </c>
      <c r="AJ6" s="16" t="s">
        <v>168</v>
      </c>
      <c r="AK6" s="16" t="s">
        <v>169</v>
      </c>
      <c r="AL6" s="16" t="s">
        <v>8</v>
      </c>
      <c r="AM6" s="16" t="s">
        <v>9</v>
      </c>
      <c r="AN6" s="16" t="s">
        <v>170</v>
      </c>
      <c r="AO6" s="16" t="s">
        <v>168</v>
      </c>
      <c r="AP6" s="16" t="s">
        <v>169</v>
      </c>
      <c r="AQ6" s="16" t="s">
        <v>8</v>
      </c>
      <c r="AR6" s="16" t="s">
        <v>9</v>
      </c>
      <c r="AS6" s="16" t="s">
        <v>170</v>
      </c>
      <c r="AT6" s="16" t="s">
        <v>168</v>
      </c>
      <c r="AU6" s="16" t="s">
        <v>169</v>
      </c>
      <c r="AV6" s="16" t="s">
        <v>8</v>
      </c>
      <c r="AW6" s="16" t="s">
        <v>9</v>
      </c>
      <c r="AX6" s="16" t="s">
        <v>170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BoardQty*2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9" t="s">
        <v>174</v>
      </c>
      <c r="R7" s="18">
        <f>iferror(lookup(if(Q7="",H7,Q7),{0,1,10,50,100,500,1000,2500,5000,10000},{0.0,0.29,0.198,0.119,0.1005,0.06876,0.06084,0.05819,0.0529,0.05026}),"")</f>
        <v>0</v>
      </c>
      <c r="S7" s="18">
        <f>iferror(if(Q7="",H7,Q7)*R7,"")</f>
        <v>0</v>
      </c>
      <c r="T7" s="20" t="s">
        <v>173</v>
      </c>
      <c r="U7" s="17">
        <v>9990</v>
      </c>
      <c r="W7" s="18">
        <f>iferror(USD_GBP*lookup(if(V7="",H7,V7),{0,1,10,100,150,500,2500,5000,10000,50000},{0.0,0.128,0.128,0.0638,0.0638,0.0495,0.0319,0.0292,0.0264,0.022}),"")</f>
        <v>0</v>
      </c>
      <c r="X7" s="18">
        <f>iferror(if(V7="",H7,V7)*W7,"")</f>
        <v>0</v>
      </c>
      <c r="Y7" s="20" t="s">
        <v>202</v>
      </c>
      <c r="Z7" s="17">
        <v>3280</v>
      </c>
      <c r="AB7" s="18">
        <f>iferror(lookup(if(AA7="",H7,AA7),{0,1,10,100,300,1000,5000,10000},{0.0,0.0635,0.0635,0.0494,0.0468,0.0442,0.0431,0.0425}),"")</f>
        <v>0</v>
      </c>
      <c r="AC7" s="18">
        <f>iferror(if(AA7="",H7,AA7)*AB7,"")</f>
        <v>0</v>
      </c>
      <c r="AD7" s="20" t="s">
        <v>224</v>
      </c>
      <c r="AE7" s="19" t="s">
        <v>174</v>
      </c>
      <c r="AG7" s="18">
        <f>iferror(lookup(if(AF7="",H7,AF7),{0,1,10,50,100,1000,10000},{0.0,0.26,0.174,0.174,0.099,0.061,0.043}),"")</f>
        <v>0</v>
      </c>
      <c r="AH7" s="18">
        <f>iferror(if(AF7="",H7,AF7)*AG7,"")</f>
        <v>0</v>
      </c>
      <c r="AI7" s="20" t="s">
        <v>235</v>
      </c>
      <c r="AJ7" s="17">
        <v>9990</v>
      </c>
      <c r="AL7" s="18">
        <f>iferror(lookup(if(AK7="",H7,AK7),{0,1,10,25,50,100},{0.0,0.174,0.174,0.149,0.124,0.099}),"")</f>
        <v>0</v>
      </c>
      <c r="AM7" s="18">
        <f>iferror(if(AK7="",H7,AK7)*AL7,"")</f>
        <v>0</v>
      </c>
      <c r="AN7" s="20" t="s">
        <v>259</v>
      </c>
    </row>
    <row r="8" spans="1:50">
      <c r="A8" s="17" t="s">
        <v>18</v>
      </c>
      <c r="B8" s="17" t="s">
        <v>19</v>
      </c>
      <c r="C8" s="17" t="s">
        <v>20</v>
      </c>
      <c r="D8" s="17" t="s">
        <v>23</v>
      </c>
      <c r="E8" s="17" t="s">
        <v>21</v>
      </c>
      <c r="F8" s="17" t="s">
        <v>15</v>
      </c>
      <c r="G8" s="17" t="s">
        <v>22</v>
      </c>
      <c r="H8" s="17">
        <f>BoardQty*1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17">
        <v>1095349</v>
      </c>
      <c r="R8" s="18">
        <f>iferror(lookup(if(Q8="",H8,Q8),{0,1,10,50,100,500,1000,2500,5000,15000},{0.0,0.1,0.027,0.0144,0.0118,0.00846,0.00664,0.00604,0.00555,0.0042}),"")</f>
        <v>0</v>
      </c>
      <c r="S8" s="18">
        <f>iferror(if(Q8="",H8,Q8)*R8,"")</f>
        <v>0</v>
      </c>
      <c r="T8" s="20" t="s">
        <v>175</v>
      </c>
      <c r="U8" s="17">
        <v>45000</v>
      </c>
      <c r="W8" s="18">
        <f>iferror(USD_GBP*lookup(if(V8="",H8,V8),{0,1,10,100,150,500,2500,7500,15000,75000},{0.0,0.0063,0.0063,0.0056,0.0056,0.0049,0.0028,0.0024,0.0022,0.0016}),"")</f>
        <v>0</v>
      </c>
      <c r="X8" s="18">
        <f>iferror(if(V8="",H8,V8)*W8,"")</f>
        <v>0</v>
      </c>
      <c r="Y8" s="20" t="s">
        <v>203</v>
      </c>
      <c r="AE8" s="17">
        <v>386899</v>
      </c>
      <c r="AG8" s="18">
        <f>iferror(lookup(if(AF8="",H8,AF8),{0,1,10,50,100,1000,10000},{0.0,0.1,0.014,0.014,0.011,0.006,0.005}),"")</f>
        <v>0</v>
      </c>
      <c r="AH8" s="18">
        <f>iferror(if(AF8="",H8,AF8)*AG8,"")</f>
        <v>0</v>
      </c>
      <c r="AI8" s="20" t="s">
        <v>236</v>
      </c>
      <c r="AJ8" s="17">
        <v>45000</v>
      </c>
      <c r="AL8" s="18">
        <f>iferror(lookup(if(AK8="",H8,AK8),{0,1,10,25,50,100,15000},{0.0,0.027,0.027,0.022,0.016,0.011,0.004}),"")</f>
        <v>0</v>
      </c>
      <c r="AM8" s="18">
        <f>iferror(if(AK8="",H8,AK8)*AL8,"")</f>
        <v>0</v>
      </c>
      <c r="AN8" s="20" t="s">
        <v>260</v>
      </c>
    </row>
    <row r="9" spans="1:50">
      <c r="A9" s="17" t="s">
        <v>24</v>
      </c>
      <c r="B9" s="17" t="s">
        <v>12</v>
      </c>
      <c r="C9" s="17" t="s">
        <v>25</v>
      </c>
      <c r="D9" s="17" t="s">
        <v>27</v>
      </c>
      <c r="E9" s="17" t="s">
        <v>21</v>
      </c>
      <c r="F9" s="17" t="s">
        <v>15</v>
      </c>
      <c r="G9" s="17" t="s">
        <v>26</v>
      </c>
      <c r="H9" s="17">
        <f>BoardQty*5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9" t="s">
        <v>174</v>
      </c>
      <c r="R9" s="18">
        <f>iferror(lookup(if(Q9="",H9,Q9),{0,1,10,50,100,500,1000,2500,5000,15000},{0.0,0.25,0.172,0.115,0.0978,0.069,0.06038,0.0575,0.05319,0.04773}),"")</f>
        <v>0</v>
      </c>
      <c r="S9" s="18">
        <f>iferror(if(Q9="",H9,Q9)*R9,"")</f>
        <v>0</v>
      </c>
      <c r="T9" s="20" t="s">
        <v>176</v>
      </c>
      <c r="U9" s="17">
        <v>30000</v>
      </c>
      <c r="W9" s="18">
        <f>iferror(USD_GBP*lookup(if(V9="",H9,V9),{0,1,10,100,150,500,2500,7500,15000,75000},{0.0,0.218,0.218,0.137,0.137,0.103,0.0727,0.0606,0.0594,0.051}),"")</f>
        <v>0</v>
      </c>
      <c r="X9" s="18">
        <f>iferror(if(V9="",H9,V9)*W9,"")</f>
        <v>0</v>
      </c>
      <c r="Y9" s="20" t="s">
        <v>204</v>
      </c>
      <c r="Z9" s="17">
        <v>3440</v>
      </c>
      <c r="AB9" s="18">
        <f>iferror(lookup(if(AA9="",H9,AA9),{0,1,20,200,600,2000,10000,20000},{0.0,0.0208,0.0208,0.0161,0.0153,0.0144,0.0141,0.0139}),"")</f>
        <v>0</v>
      </c>
      <c r="AC9" s="18">
        <f>iferror(if(AA9="",H9,AA9)*AB9,"")</f>
        <v>0</v>
      </c>
      <c r="AD9" s="20" t="s">
        <v>225</v>
      </c>
      <c r="AJ9" s="17">
        <v>30000</v>
      </c>
      <c r="AL9" s="18">
        <f>iferror(lookup(if(AK9="",H9,AK9),{0,1,10,25,50,100,15000},{0.0,0.121,0.121,0.113,0.105,0.097,0.054}),"")</f>
        <v>0</v>
      </c>
      <c r="AM9" s="18">
        <f>iferror(if(AK9="",H9,AK9)*AL9,"")</f>
        <v>0</v>
      </c>
      <c r="AN9" s="20" t="s">
        <v>261</v>
      </c>
    </row>
    <row r="10" spans="1:50">
      <c r="A10" s="17" t="s">
        <v>28</v>
      </c>
      <c r="B10" s="17" t="s">
        <v>29</v>
      </c>
      <c r="C10" s="17" t="s">
        <v>30</v>
      </c>
      <c r="D10" s="17" t="s">
        <v>23</v>
      </c>
      <c r="E10" s="17" t="s">
        <v>14</v>
      </c>
      <c r="F10" s="17" t="s">
        <v>15</v>
      </c>
      <c r="G10" s="17" t="s">
        <v>31</v>
      </c>
      <c r="H10" s="17">
        <f>BoardQty*1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3743048</v>
      </c>
      <c r="R10" s="18">
        <f>iferror(lookup(if(Q10="",H10,Q10),{0,1,10,50,100,500,1000,2500,5000,10000},{0.0,0.19,0.129,0.0776,0.0656,0.04484,0.03968,0.03795,0.0345,0.03278}),"")</f>
        <v>0</v>
      </c>
      <c r="S10" s="18">
        <f>iferror(if(Q10="",H10,Q10)*R10,"")</f>
        <v>0</v>
      </c>
      <c r="T10" s="20" t="s">
        <v>177</v>
      </c>
      <c r="U10" s="17">
        <v>140000</v>
      </c>
      <c r="W10" s="18">
        <f>iferror(USD_GBP*lookup(if(V10="",H10,V10),{0,1,10,100,150,500,2500,5000,10000,50000},{0.0,0.143,0.143,0.0817,0.0817,0.0622,0.0461,0.0381,0.0318,0.0272}),"")</f>
        <v>0</v>
      </c>
      <c r="X10" s="18">
        <f>iferror(if(V10="",H10,V10)*W10,"")</f>
        <v>0</v>
      </c>
      <c r="Y10" s="20" t="s">
        <v>205</v>
      </c>
      <c r="Z10" s="17">
        <v>2990</v>
      </c>
      <c r="AB10" s="18">
        <f>iferror(lookup(if(AA10="",H10,AA10),{0,1,10,100,300,1000,5000,10000},{0.0,0.0611,0.0611,0.0453,0.0424,0.0395,0.0382,0.0376}),"")</f>
        <v>0</v>
      </c>
      <c r="AC10" s="18">
        <f>iferror(if(AA10="",H10,AA10)*AB10,"")</f>
        <v>0</v>
      </c>
      <c r="AD10" s="20" t="s">
        <v>226</v>
      </c>
      <c r="AE10" s="17">
        <v>1634310</v>
      </c>
      <c r="AG10" s="18">
        <f>iferror(lookup(if(AF10="",H10,AF10),{0,1,10,50,100,1000,10000},{0.0,0.18,0.075,0.075,0.063,0.038,0.031}),"")</f>
        <v>0</v>
      </c>
      <c r="AH10" s="18">
        <f>iferror(if(AF10="",H10,AF10)*AG10,"")</f>
        <v>0</v>
      </c>
      <c r="AI10" s="20" t="s">
        <v>237</v>
      </c>
      <c r="AJ10" s="17">
        <v>150000</v>
      </c>
      <c r="AL10" s="18">
        <f>iferror(lookup(if(AK10="",H10,AK10),{0,1,10,25,50,100,10000,20000},{0.0,0.173,0.173,0.144,0.116,0.087,0.033,0.032}),"")</f>
        <v>0</v>
      </c>
      <c r="AM10" s="18">
        <f>iferror(if(AK10="",H10,AK10)*AL10,"")</f>
        <v>0</v>
      </c>
      <c r="AN10" s="20" t="s">
        <v>262</v>
      </c>
    </row>
    <row r="11" spans="1:50">
      <c r="A11" s="17" t="s">
        <v>32</v>
      </c>
      <c r="B11" s="17" t="s">
        <v>12</v>
      </c>
      <c r="C11" s="17" t="s">
        <v>33</v>
      </c>
      <c r="D11" s="17" t="s">
        <v>35</v>
      </c>
      <c r="E11" s="17" t="s">
        <v>21</v>
      </c>
      <c r="F11" s="17" t="s">
        <v>15</v>
      </c>
      <c r="G11" s="17" t="s">
        <v>34</v>
      </c>
      <c r="H11" s="17">
        <f>BoardQty*2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903983</v>
      </c>
      <c r="R11" s="18">
        <f>iferror(lookup(if(Q11="",H11,Q11),{0,1,10,50,100,500,1000,2500,5000,10000},{0.0,0.44,0.307,0.215,0.1842,0.13818,0.11668,0.11054,0.1044,0.09826}),"")</f>
        <v>0</v>
      </c>
      <c r="S11" s="18">
        <f>iferror(if(Q11="",H11,Q11)*R11,"")</f>
        <v>0</v>
      </c>
      <c r="T11" s="20" t="s">
        <v>178</v>
      </c>
      <c r="U11" s="17">
        <v>50000</v>
      </c>
      <c r="W11" s="18">
        <f>iferror(USD_GBP*lookup(if(V11="",H11,V11),{0,1,10,100,150,500,2500,5000,10000,50000},{0.0,0.187,0.187,0.151,0.151,0.0842,0.0797,0.074,0.0718,0.0615}),"")</f>
        <v>0</v>
      </c>
      <c r="X11" s="18">
        <f>iferror(if(V11="",H11,V11)*W11,"")</f>
        <v>0</v>
      </c>
      <c r="Y11" s="20" t="s">
        <v>206</v>
      </c>
      <c r="Z11" s="17">
        <v>180195</v>
      </c>
      <c r="AB11" s="18">
        <f>iferror(lookup(if(AA11="",H11,AA11),{0,1,5,50,150,500,2500,5000},{0.0,0.1179,0.1179,0.0859,0.0801,0.0742,0.0716,0.0703}),"")</f>
        <v>0</v>
      </c>
      <c r="AC11" s="18">
        <f>iferror(if(AA11="",H11,AA11)*AB11,"")</f>
        <v>0</v>
      </c>
      <c r="AD11" s="20" t="s">
        <v>227</v>
      </c>
      <c r="AE11" s="17">
        <v>155342</v>
      </c>
      <c r="AG11" s="18">
        <f>iferror(lookup(if(AF11="",H11,AF11),{0,1,10,50,100,1000,10000},{0.0,0.42,0.206,0.206,0.177,0.112,0.094}),"")</f>
        <v>0</v>
      </c>
      <c r="AH11" s="18">
        <f>iferror(if(AF11="",H11,AF11)*AG11,"")</f>
        <v>0</v>
      </c>
      <c r="AI11" s="20" t="s">
        <v>238</v>
      </c>
      <c r="AJ11" s="17">
        <v>50000</v>
      </c>
      <c r="AL11" s="18">
        <f>iferror(lookup(if(AK11="",H11,AK11),{0,1,10,25,50,100,10000},{0.0,0.227,0.227,0.216,0.205,0.194,0.11}),"")</f>
        <v>0</v>
      </c>
      <c r="AM11" s="18">
        <f>iferror(if(AK11="",H11,AK11)*AL11,"")</f>
        <v>0</v>
      </c>
      <c r="AN11" s="20" t="s">
        <v>263</v>
      </c>
    </row>
    <row r="12" spans="1:50">
      <c r="A12" s="17" t="s">
        <v>36</v>
      </c>
      <c r="B12" s="17" t="s">
        <v>37</v>
      </c>
      <c r="C12" s="17" t="s">
        <v>38</v>
      </c>
      <c r="D12" s="17" t="s">
        <v>40</v>
      </c>
      <c r="E12" s="17" t="s">
        <v>21</v>
      </c>
      <c r="F12" s="17" t="s">
        <v>15</v>
      </c>
      <c r="G12" s="17" t="s">
        <v>39</v>
      </c>
      <c r="H12" s="17">
        <f>BoardQty*10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2181765</v>
      </c>
      <c r="R12" s="18">
        <f>iferror(lookup(if(Q12="",H12,Q12),{0,1,10,50,100,500,1000,2500,5000,15000},{0.0,0.1,0.034,0.0186,0.0152,0.01086,0.00854,0.00776,0.00714,0.00621}),"")</f>
        <v>0</v>
      </c>
      <c r="S12" s="18">
        <f>iferror(if(Q12="",H12,Q12)*R12,"")</f>
        <v>0</v>
      </c>
      <c r="T12" s="20" t="s">
        <v>179</v>
      </c>
      <c r="U12" s="17">
        <v>120000</v>
      </c>
      <c r="W12" s="18">
        <f>iferror(USD_GBP*lookup(if(V12="",H12,V12),{0,1,10,100,150,500,2500,7500,15000,75000},{0.0,0.0202,0.0202,0.0159,0.0159,0.0076,0.0059,0.0058,0.004,0.0039}),"")</f>
        <v>0</v>
      </c>
      <c r="X12" s="18">
        <f>iferror(if(V12="",H12,V12)*W12,"")</f>
        <v>0</v>
      </c>
      <c r="Y12" s="20" t="s">
        <v>207</v>
      </c>
      <c r="Z12" s="17">
        <v>20800</v>
      </c>
      <c r="AB12" s="18">
        <f>iferror(lookup(if(AA12="",H12,AA12),{0,1,50,500,1500,5000,25000,50000},{0.0,0.0035,0.0035,0.0026,0.0024,0.0022,0.0022,0.0021}),"")</f>
        <v>0</v>
      </c>
      <c r="AC12" s="18">
        <f>iferror(if(AA12="",H12,AA12)*AB12,"")</f>
        <v>0</v>
      </c>
      <c r="AD12" s="20" t="s">
        <v>228</v>
      </c>
      <c r="AE12" s="17">
        <v>301000</v>
      </c>
      <c r="AG12" s="18">
        <f>iferror(lookup(if(AF12="",H12,AF12),{0,1,10,50,100,1000,10000},{0.0,0.1,0.018,0.018,0.015,0.009,0.007}),"")</f>
        <v>0</v>
      </c>
      <c r="AH12" s="18">
        <f>iferror(if(AF12="",H12,AF12)*AG12,"")</f>
        <v>0</v>
      </c>
      <c r="AI12" s="20" t="s">
        <v>239</v>
      </c>
      <c r="AJ12" s="17">
        <v>120000</v>
      </c>
      <c r="AL12" s="18">
        <f>iferror(lookup(if(AK12="",H12,AK12),{0,1,10,25,50,100,15000},{0.0,0.034,0.034,0.028,0.021,0.015,0.005}),"")</f>
        <v>0</v>
      </c>
      <c r="AM12" s="18">
        <f>iferror(if(AK12="",H12,AK12)*AL12,"")</f>
        <v>0</v>
      </c>
      <c r="AN12" s="20" t="s">
        <v>264</v>
      </c>
      <c r="AO12" s="17">
        <v>7000</v>
      </c>
      <c r="AQ12" s="18">
        <f>iferror(USD_GBP*lookup(if(AP12="",H12,AP12),{0,1,15000,60000},{0.0,0.004,0.004,0.004}),"")</f>
        <v>0</v>
      </c>
      <c r="AR12" s="18">
        <f>iferror(if(AP12="",H12,AP12)*AQ12,"")</f>
        <v>0</v>
      </c>
      <c r="AS12" s="20" t="s">
        <v>280</v>
      </c>
    </row>
    <row r="13" spans="1:50">
      <c r="A13" s="17" t="s">
        <v>41</v>
      </c>
      <c r="B13" s="17" t="s">
        <v>42</v>
      </c>
      <c r="C13" s="17" t="s">
        <v>43</v>
      </c>
      <c r="E13" s="17" t="s">
        <v>44</v>
      </c>
      <c r="F13" s="17" t="s">
        <v>45</v>
      </c>
      <c r="G13" s="17" t="s">
        <v>46</v>
      </c>
      <c r="H13" s="17">
        <f>BoardQty*2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32181</v>
      </c>
      <c r="R13" s="18">
        <f>iferror(lookup(if(Q13="",H13,Q13),{0,1,10,100,500,1000,2000,5000,10000,30000,50000,100000},{0.0,0.34,0.251,0.142,0.09404,0.0721,0.0627,0.05643,0.05016,0.04703,0.0417,0.04125}),"")</f>
        <v>0</v>
      </c>
      <c r="S13" s="18">
        <f>iferror(if(Q13="",H13,Q13)*R13,"")</f>
        <v>0</v>
      </c>
      <c r="T13" s="20" t="s">
        <v>180</v>
      </c>
      <c r="U13" s="19" t="s">
        <v>174</v>
      </c>
      <c r="W13" s="18">
        <f>iferror(USD_GBP*lookup(if(V13="",H13,V13),{0,1,10000},{0.0,0.042,0.042}),"")</f>
        <v>0</v>
      </c>
      <c r="X13" s="18">
        <f>iferror(if(V13="",H13,V13)*W13,"")</f>
        <v>0</v>
      </c>
      <c r="Y13" s="20" t="s">
        <v>208</v>
      </c>
      <c r="AE13" s="17">
        <v>249</v>
      </c>
      <c r="AG13" s="18">
        <f>iferror(lookup(if(AF13="",H13,AF13),{0,1,10,50,100,1000,10000},{0.0,0.39,0.255,0.255,0.138,0.084,0.058}),"")</f>
        <v>0</v>
      </c>
      <c r="AH13" s="18">
        <f>iferror(if(AF13="",H13,AF13)*AG13,"")</f>
        <v>0</v>
      </c>
      <c r="AI13" s="20" t="s">
        <v>240</v>
      </c>
      <c r="AJ13" s="19" t="s">
        <v>174</v>
      </c>
      <c r="AL13" s="18">
        <f>iferror(lookup(if(AK13="",H13,AK13),{0,1,5,10,100,500,1000,2500},{0.0,0.36,0.36,0.276,0.154,0.136,0.118,0.103}),"")</f>
        <v>0</v>
      </c>
      <c r="AM13" s="18">
        <f>iferror(if(AK13="",H13,AK13)*AL13,"")</f>
        <v>0</v>
      </c>
      <c r="AN13" s="20" t="s">
        <v>265</v>
      </c>
    </row>
    <row r="14" spans="1:50">
      <c r="A14" s="17" t="s">
        <v>47</v>
      </c>
      <c r="B14" s="17" t="s">
        <v>48</v>
      </c>
      <c r="C14" s="17" t="s">
        <v>49</v>
      </c>
      <c r="E14" s="17" t="s">
        <v>50</v>
      </c>
      <c r="F14" s="17" t="s">
        <v>51</v>
      </c>
      <c r="G14" s="17" t="s">
        <v>48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2238</v>
      </c>
      <c r="R14" s="18">
        <f>iferror(lookup(if(Q14="",H14,Q14),{0,1,10,100,500,1000,2000,4000,8000,12000,28000,100000},{0.0,0.32,0.249,0.1117,0.10092,0.08289,0.07208,0.07208,0.06487,0.05766,0.05406,0.051}),"")</f>
        <v>0</v>
      </c>
      <c r="S14" s="18">
        <f>iferror(if(Q14="",H14,Q14)*R14,"")</f>
        <v>0</v>
      </c>
      <c r="T14" s="20" t="s">
        <v>181</v>
      </c>
      <c r="U14" s="17">
        <v>715</v>
      </c>
      <c r="W14" s="18">
        <f>iferror(USD_GBP*lookup(if(V14="",H14,V14),{0,1,4000},{0.0,0.0695,0.0695}),"")</f>
        <v>0</v>
      </c>
      <c r="X14" s="18">
        <f>iferror(if(V14="",H14,V14)*W14,"")</f>
        <v>0</v>
      </c>
      <c r="Y14" s="20" t="s">
        <v>209</v>
      </c>
      <c r="AE14" s="17">
        <v>596</v>
      </c>
      <c r="AG14" s="18">
        <f>iferror(lookup(if(AF14="",H14,AF14),{0,1,10,50,100,1000,10000},{0.0,0.46,0.257,0.257,0.104,0.086,0.054}),"")</f>
        <v>0</v>
      </c>
      <c r="AH14" s="18">
        <f>iferror(if(AF14="",H14,AF14)*AG14,"")</f>
        <v>0</v>
      </c>
      <c r="AI14" s="20" t="s">
        <v>241</v>
      </c>
      <c r="AJ14" s="17">
        <v>715</v>
      </c>
      <c r="AL14" s="18">
        <f>iferror(lookup(if(AK14="",H14,AK14),{0,1,25,50,100,250,500},{0.0,0.32,0.249,0.18,0.111,0.106,0.1}),"")</f>
        <v>0</v>
      </c>
      <c r="AM14" s="18">
        <f>iferror(if(AK14="",H14,AK14)*AL14,"")</f>
        <v>0</v>
      </c>
      <c r="AN14" s="20" t="s">
        <v>266</v>
      </c>
      <c r="AT14" s="17">
        <v>3678</v>
      </c>
      <c r="AV14" s="18">
        <f>iferror(USD_GBP*lookup(if(AU14="",H14,AU14),{0,1,5,25,100,500,4000},{0.0,0.131,0.131,0.1164,0.0735,0.0576,0.0432}),"")</f>
        <v>0</v>
      </c>
      <c r="AW14" s="18">
        <f>iferror(if(AU14="",H14,AU14)*AV14,"")</f>
        <v>0</v>
      </c>
      <c r="AX14" s="20" t="s">
        <v>290</v>
      </c>
    </row>
    <row r="15" spans="1:50">
      <c r="A15" s="17" t="s">
        <v>52</v>
      </c>
      <c r="B15" s="17" t="s">
        <v>53</v>
      </c>
      <c r="C15" s="17" t="s">
        <v>54</v>
      </c>
      <c r="E15" s="17" t="s">
        <v>50</v>
      </c>
      <c r="F15" s="17" t="s">
        <v>51</v>
      </c>
      <c r="G15" s="17" t="s">
        <v>53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38744</v>
      </c>
      <c r="R15" s="18">
        <f>iferror(lookup(if(Q15="",H15,Q15),{0,1,10,100,500,1000,2000,4000,8000,12000,28000,100000},{0.0,0.32,0.256,0.115,0.10388,0.08533,0.0742,0.0742,0.06678,0.05936,0.05565,0.0525}),"")</f>
        <v>0</v>
      </c>
      <c r="S15" s="18">
        <f>iferror(if(Q15="",H15,Q15)*R15,"")</f>
        <v>0</v>
      </c>
      <c r="T15" s="20" t="s">
        <v>182</v>
      </c>
      <c r="U15" s="17">
        <v>3337</v>
      </c>
      <c r="W15" s="18">
        <f>iferror(USD_GBP*lookup(if(V15="",H15,V15),{0,1,25,50,100,250,500,1000,2500},{0.0,0.347,0.182,0.156,0.129,0.0882,0.0775,0.0615,0.0597}),"")</f>
        <v>0</v>
      </c>
      <c r="X15" s="18">
        <f>iferror(if(V15="",H15,V15)*W15,"")</f>
        <v>0</v>
      </c>
      <c r="Y15" s="20" t="s">
        <v>210</v>
      </c>
      <c r="AE15" s="17">
        <v>8508</v>
      </c>
      <c r="AG15" s="18">
        <f>iferror(lookup(if(AF15="",H15,AF15),{0,1,10,50,100,1000,10000},{0.0,0.47,0.265,0.265,0.107,0.088,0.056}),"")</f>
        <v>0</v>
      </c>
      <c r="AH15" s="18">
        <f>iferror(if(AF15="",H15,AF15)*AG15,"")</f>
        <v>0</v>
      </c>
      <c r="AI15" s="20" t="s">
        <v>242</v>
      </c>
      <c r="AJ15" s="17">
        <v>3337</v>
      </c>
      <c r="AL15" s="18">
        <f>iferror(lookup(if(AK15="",H15,AK15),{0,1,25,50,100,250,500},{0.0,0.039,0.039,0.039,0.039,0.039,0.039}),"")</f>
        <v>0</v>
      </c>
      <c r="AM15" s="18">
        <f>iferror(if(AK15="",H15,AK15)*AL15,"")</f>
        <v>0</v>
      </c>
      <c r="AN15" s="20" t="s">
        <v>267</v>
      </c>
      <c r="AT15" s="17">
        <v>2910</v>
      </c>
      <c r="AV15" s="18">
        <f>iferror(USD_GBP*lookup(if(AU15="",H15,AU15),{0,1,5,25,100,500,4000},{0.0,0.131,0.131,0.1019,0.0735,0.0546,0.0393}),"")</f>
        <v>0</v>
      </c>
      <c r="AW15" s="18">
        <f>iferror(if(AU15="",H15,AU15)*AV15,"")</f>
        <v>0</v>
      </c>
      <c r="AX15" s="20" t="s">
        <v>291</v>
      </c>
    </row>
    <row r="16" spans="1:50">
      <c r="A16" s="17" t="s">
        <v>55</v>
      </c>
      <c r="B16" s="17" t="s">
        <v>56</v>
      </c>
      <c r="C16" s="17" t="s">
        <v>57</v>
      </c>
      <c r="E16" s="17" t="s">
        <v>58</v>
      </c>
      <c r="F16" s="17" t="s">
        <v>59</v>
      </c>
      <c r="G16" s="17" t="s">
        <v>60</v>
      </c>
      <c r="H16" s="17">
        <f>BoardQty*2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2245</v>
      </c>
      <c r="R16" s="18">
        <f>iferror(lookup(if(Q16="",H16,Q16),{0,1,10,25,50,100,250,500},{0.0,0.17,0.157,0.134,0.1172,0.1089,0.09632,0.09214}),"")</f>
        <v>0</v>
      </c>
      <c r="S16" s="18">
        <f>iferror(if(Q16="",H16,Q16)*R16,"")</f>
        <v>0</v>
      </c>
      <c r="T16" s="20" t="s">
        <v>183</v>
      </c>
    </row>
    <row r="17" spans="1:50">
      <c r="A17" s="17" t="s">
        <v>61</v>
      </c>
      <c r="B17" s="17" t="s">
        <v>62</v>
      </c>
      <c r="C17" s="17" t="s">
        <v>63</v>
      </c>
      <c r="E17" s="17" t="s">
        <v>64</v>
      </c>
      <c r="F17" s="17" t="s">
        <v>59</v>
      </c>
      <c r="G17" s="17" t="s">
        <v>65</v>
      </c>
      <c r="H17" s="17">
        <f>BoardQty*2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3902</v>
      </c>
      <c r="R17" s="18">
        <f>iferror(lookup(if(Q17="",H17,Q17),{0,1,10,25,50,100,250,500},{0.0,0.29,0.271,0.2324,0.1974,0.1896,0.17028,0.16254}),"")</f>
        <v>0</v>
      </c>
      <c r="S17" s="18">
        <f>iferror(if(Q17="",H17,Q17)*R17,"")</f>
        <v>0</v>
      </c>
      <c r="T17" s="20" t="s">
        <v>184</v>
      </c>
    </row>
    <row r="18" spans="1:50">
      <c r="A18" s="17" t="s">
        <v>66</v>
      </c>
      <c r="B18" s="17" t="s">
        <v>67</v>
      </c>
      <c r="C18" s="17" t="s">
        <v>68</v>
      </c>
      <c r="E18" s="17" t="s">
        <v>69</v>
      </c>
      <c r="F18" s="17" t="s">
        <v>70</v>
      </c>
      <c r="G18" s="17" t="s">
        <v>67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Z18" s="17">
        <v>141699</v>
      </c>
      <c r="AB18" s="18">
        <f>iferror(lookup(if(AA18="",H18,AA18),{0,1,10,30,100,500,1000},{0.0,0.3228,0.2489,0.2309,0.2074,0.1966,0.1948}),"")</f>
        <v>0</v>
      </c>
      <c r="AC18" s="18">
        <f>iferror(if(AA18="",H18,AA18)*AB18,"")</f>
        <v>0</v>
      </c>
      <c r="AD18" s="20" t="s">
        <v>229</v>
      </c>
    </row>
    <row r="19" spans="1:50">
      <c r="A19" s="17" t="s">
        <v>71</v>
      </c>
      <c r="B19" s="17" t="s">
        <v>72</v>
      </c>
      <c r="C19" s="17" t="s">
        <v>73</v>
      </c>
      <c r="E19" s="17" t="s">
        <v>74</v>
      </c>
      <c r="F19" s="17" t="s">
        <v>75</v>
      </c>
      <c r="G19" s="17" t="s">
        <v>76</v>
      </c>
      <c r="H19" s="17">
        <f>BoardQty*3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9" t="s">
        <v>174</v>
      </c>
      <c r="R19" s="18">
        <f>iferror(lookup(if(Q19="",H19,Q19),{0,1,10,100,1000,2500,5000,15000},{0.0,0.1,0.028,0.0115,0.00518,0.0045,0.00371,0.00323}),"")</f>
        <v>0</v>
      </c>
      <c r="S19" s="18">
        <f>iferror(if(Q19="",H19,Q19)*R19,"")</f>
        <v>0</v>
      </c>
      <c r="T19" s="20" t="s">
        <v>185</v>
      </c>
      <c r="U19" s="19" t="s">
        <v>174</v>
      </c>
      <c r="W19" s="18">
        <f>iferror(USD_GBP*lookup(if(V19="",H19,V19),{0,1,30000},{0.0,0.0046,0.0046}),"")</f>
        <v>0</v>
      </c>
      <c r="X19" s="18">
        <f>iferror(if(V19="",H19,V19)*W19,"")</f>
        <v>0</v>
      </c>
      <c r="Y19" s="20" t="s">
        <v>211</v>
      </c>
      <c r="AE19" s="17">
        <v>13882</v>
      </c>
      <c r="AG19" s="18">
        <f>iferror(lookup(if(AF19="",H19,AF19),{0,1,10,50,100,1000,10000},{0.0,0.1,0.025,0.025,0.008,0.005,0.003}),"")</f>
        <v>0</v>
      </c>
      <c r="AH19" s="18">
        <f>iferror(if(AF19="",H19,AF19)*AG19,"")</f>
        <v>0</v>
      </c>
      <c r="AI19" s="20" t="s">
        <v>243</v>
      </c>
      <c r="AJ19" s="19" t="s">
        <v>174</v>
      </c>
      <c r="AL19" s="18">
        <f>iferror(lookup(if(AK19="",H19,AK19),{0,1,15000,30000},{0.0,0.005,0.005,0.004}),"")</f>
        <v>0</v>
      </c>
      <c r="AM19" s="18">
        <f>iferror(if(AK19="",H19,AK19)*AL19,"")</f>
        <v>0</v>
      </c>
      <c r="AN19" s="20" t="s">
        <v>268</v>
      </c>
      <c r="AO19" s="17">
        <v>38000</v>
      </c>
      <c r="AQ19" s="18">
        <f>iferror(USD_GBP*lookup(if(AP19="",H19,AP19),{0,1,15000},{0.0,0.004,0.004}),"")</f>
        <v>0</v>
      </c>
      <c r="AR19" s="18">
        <f>iferror(if(AP19="",H19,AP19)*AQ19,"")</f>
        <v>0</v>
      </c>
      <c r="AS19" s="20" t="s">
        <v>281</v>
      </c>
    </row>
    <row r="20" spans="1:50">
      <c r="A20" s="17" t="s">
        <v>77</v>
      </c>
      <c r="B20" s="17" t="s">
        <v>78</v>
      </c>
      <c r="C20" s="17" t="s">
        <v>79</v>
      </c>
      <c r="E20" s="17" t="s">
        <v>74</v>
      </c>
      <c r="F20" s="17" t="s">
        <v>75</v>
      </c>
      <c r="G20" s="17" t="s">
        <v>80</v>
      </c>
      <c r="H20" s="17">
        <f>BoardQty*2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17">
        <v>4340071</v>
      </c>
      <c r="R20" s="18">
        <f>iferror(lookup(if(Q20="",H20,Q20),{0,1,10,25,50,100,250,500,1000,5000,15000,30000,75000},{0.0,0.1,0.025,0.018,0.0136,0.01,0.00764,0.00612,0.0045,0.00323,0.00281,0.00247,0.00231}),"")</f>
        <v>0</v>
      </c>
      <c r="S20" s="18">
        <f>iferror(if(Q20="",H20,Q20)*R20,"")</f>
        <v>0</v>
      </c>
      <c r="T20" s="20" t="s">
        <v>186</v>
      </c>
      <c r="U20" s="17">
        <v>95971</v>
      </c>
      <c r="W20" s="18">
        <f>iferror(USD_GBP*lookup(if(V20="",H20,V20),{0,1,10,100,150,500,2500,7500,15000,75000},{0.0,0.04,0.04,0.024,0.024,0.018,0.012,0.009,0.007,0.0046}),"")</f>
        <v>0</v>
      </c>
      <c r="X20" s="18">
        <f>iferror(if(V20="",H20,V20)*W20,"")</f>
        <v>0</v>
      </c>
      <c r="Y20" s="20" t="s">
        <v>212</v>
      </c>
      <c r="AE20" s="17">
        <v>894751</v>
      </c>
      <c r="AG20" s="18">
        <f>iferror(lookup(if(AF20="",H20,AF20),{0,1,10,50,100,1000,10000},{0.0,0.1,0.014,0.014,0.006,0.005,0.003}),"")</f>
        <v>0</v>
      </c>
      <c r="AH20" s="18">
        <f>iferror(if(AF20="",H20,AF20)*AG20,"")</f>
        <v>0</v>
      </c>
      <c r="AI20" s="20" t="s">
        <v>244</v>
      </c>
      <c r="AJ20" s="17">
        <v>95971</v>
      </c>
      <c r="AL20" s="18">
        <f>iferror(lookup(if(AK20="",H20,AK20),{0,1,25,100,250,500,1000,2500,5000,15000},{0.0,0.211,0.021,0.009,0.008,0.007,0.006,0.005,0.004,0.006}),"")</f>
        <v>0</v>
      </c>
      <c r="AM20" s="18">
        <f>iferror(if(AK20="",H20,AK20)*AL20,"")</f>
        <v>0</v>
      </c>
      <c r="AN20" s="20" t="s">
        <v>269</v>
      </c>
      <c r="AO20" s="17">
        <v>1038637</v>
      </c>
      <c r="AQ20" s="18">
        <f>iferror(USD_GBP*lookup(if(AP20="",H20,AP20),{0,1,15000},{0.0,0.005,0.005}),"")</f>
        <v>0</v>
      </c>
      <c r="AR20" s="18">
        <f>iferror(if(AP20="",H20,AP20)*AQ20,"")</f>
        <v>0</v>
      </c>
      <c r="AS20" s="20" t="s">
        <v>282</v>
      </c>
    </row>
    <row r="21" spans="1:50">
      <c r="A21" s="17" t="s">
        <v>81</v>
      </c>
      <c r="B21" s="17" t="s">
        <v>82</v>
      </c>
      <c r="C21" s="17" t="s">
        <v>83</v>
      </c>
      <c r="E21" s="17" t="s">
        <v>74</v>
      </c>
      <c r="F21" s="17" t="s">
        <v>75</v>
      </c>
      <c r="G21" s="17" t="s">
        <v>84</v>
      </c>
      <c r="H21" s="17">
        <f>BoardQty*1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9" t="s">
        <v>174</v>
      </c>
      <c r="R21" s="18">
        <f>iferror(lookup(if(Q21="",H21,Q21),{0,1,10,100,1000,2500,5000,15000},{0.0,0.1,0.028,0.0115,0.00518,0.0045,0.00371,0.00323}),"")</f>
        <v>0</v>
      </c>
      <c r="S21" s="18">
        <f>iferror(if(Q21="",H21,Q21)*R21,"")</f>
        <v>0</v>
      </c>
      <c r="T21" s="20" t="s">
        <v>187</v>
      </c>
      <c r="U21" s="19" t="s">
        <v>174</v>
      </c>
      <c r="W21" s="18">
        <f>iferror(USD_GBP*lookup(if(V21="",H21,V21),{0,1,30000},{0.0,0.0046,0.0046}),"")</f>
        <v>0</v>
      </c>
      <c r="X21" s="18">
        <f>iferror(if(V21="",H21,V21)*W21,"")</f>
        <v>0</v>
      </c>
      <c r="Y21" s="20" t="s">
        <v>213</v>
      </c>
      <c r="AE21" s="17">
        <v>11274</v>
      </c>
      <c r="AG21" s="18">
        <f>iferror(lookup(if(AF21="",H21,AF21),{0,1,10,50,100,1000,10000},{0.0,0.1,0.031,0.031,0.014,0.007,0.005}),"")</f>
        <v>0</v>
      </c>
      <c r="AH21" s="18">
        <f>iferror(if(AF21="",H21,AF21)*AG21,"")</f>
        <v>0</v>
      </c>
      <c r="AI21" s="20" t="s">
        <v>245</v>
      </c>
      <c r="AJ21" s="19" t="s">
        <v>174</v>
      </c>
      <c r="AL21" s="18">
        <f>iferror(lookup(if(AK21="",H21,AK21),{0,1,15000},{0.0,0.006,0.006}),"")</f>
        <v>0</v>
      </c>
      <c r="AM21" s="18">
        <f>iferror(if(AK21="",H21,AK21)*AL21,"")</f>
        <v>0</v>
      </c>
      <c r="AN21" s="20" t="s">
        <v>270</v>
      </c>
    </row>
    <row r="22" spans="1:50">
      <c r="A22" s="17" t="s">
        <v>85</v>
      </c>
      <c r="B22" s="17" t="s">
        <v>86</v>
      </c>
      <c r="C22" s="17" t="s">
        <v>87</v>
      </c>
      <c r="E22" s="17" t="s">
        <v>74</v>
      </c>
      <c r="F22" s="17" t="s">
        <v>75</v>
      </c>
      <c r="G22" s="17" t="s">
        <v>88</v>
      </c>
      <c r="H22" s="17">
        <f>BoardQty*2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125384</v>
      </c>
      <c r="R22" s="18">
        <f>iferror(lookup(if(Q22="",H22,Q22),{0,1,10,100,1000,2500,5000,15000},{0.0,0.1,0.028,0.0115,0.00518,0.0045,0.00371,0.00323}),"")</f>
        <v>0</v>
      </c>
      <c r="S22" s="18">
        <f>iferror(if(Q22="",H22,Q22)*R22,"")</f>
        <v>0</v>
      </c>
      <c r="T22" s="20" t="s">
        <v>188</v>
      </c>
      <c r="U22" s="19" t="s">
        <v>174</v>
      </c>
      <c r="W22" s="18">
        <f>iferror(USD_GBP*lookup(if(V22="",H22,V22),{0,1,30000},{0.0,0.0064,0.0064}),"")</f>
        <v>0</v>
      </c>
      <c r="X22" s="18">
        <f>iferror(if(V22="",H22,V22)*W22,"")</f>
        <v>0</v>
      </c>
      <c r="Y22" s="20" t="s">
        <v>214</v>
      </c>
      <c r="AE22" s="17">
        <v>81745</v>
      </c>
      <c r="AG22" s="18">
        <f>iferror(lookup(if(AF22="",H22,AF22),{0,1,10,50,100,1000,10000},{0.0,0.1,0.027,0.027,0.011,0.005,0.003}),"")</f>
        <v>0</v>
      </c>
      <c r="AH22" s="18">
        <f>iferror(if(AF22="",H22,AF22)*AG22,"")</f>
        <v>0</v>
      </c>
      <c r="AI22" s="20" t="s">
        <v>246</v>
      </c>
      <c r="AO22" s="17">
        <v>28000</v>
      </c>
      <c r="AQ22" s="18">
        <f>iferror(USD_GBP*lookup(if(AP22="",H22,AP22),{0,1,15000},{0.0,0.004,0.004}),"")</f>
        <v>0</v>
      </c>
      <c r="AR22" s="18">
        <f>iferror(if(AP22="",H22,AP22)*AQ22,"")</f>
        <v>0</v>
      </c>
      <c r="AS22" s="20" t="s">
        <v>283</v>
      </c>
    </row>
    <row r="23" spans="1:50">
      <c r="A23" s="17" t="s">
        <v>89</v>
      </c>
      <c r="B23" s="17" t="s">
        <v>90</v>
      </c>
      <c r="C23" s="17" t="s">
        <v>91</v>
      </c>
      <c r="E23" s="17" t="s">
        <v>74</v>
      </c>
      <c r="F23" s="17" t="s">
        <v>75</v>
      </c>
      <c r="G23" s="17" t="s">
        <v>92</v>
      </c>
      <c r="H23" s="17">
        <f>BoardQty*2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70771</v>
      </c>
      <c r="R23" s="18">
        <f>iferror(lookup(if(Q23="",H23,Q23),{0,1,10,100,1000,2500,5000,15000},{0.0,0.1,0.028,0.0115,0.00518,0.0045,0.00371,0.00323}),"")</f>
        <v>0</v>
      </c>
      <c r="S23" s="18">
        <f>iferror(if(Q23="",H23,Q23)*R23,"")</f>
        <v>0</v>
      </c>
      <c r="T23" s="20" t="s">
        <v>189</v>
      </c>
      <c r="U23" s="19" t="s">
        <v>174</v>
      </c>
      <c r="W23" s="18">
        <f>iferror(USD_GBP*lookup(if(V23="",H23,V23),{0,1,30000},{0.0,0.0046,0.0046}),"")</f>
        <v>0</v>
      </c>
      <c r="X23" s="18">
        <f>iferror(if(V23="",H23,V23)*W23,"")</f>
        <v>0</v>
      </c>
      <c r="Y23" s="20" t="s">
        <v>215</v>
      </c>
      <c r="AE23" s="17">
        <v>80525</v>
      </c>
      <c r="AG23" s="18">
        <f>iferror(lookup(if(AF23="",H23,AF23),{0,1,10,50,100,1000,10000},{0.0,0.1,0.027,0.027,0.011,0.005,0.003}),"")</f>
        <v>0</v>
      </c>
      <c r="AH23" s="18">
        <f>iferror(if(AF23="",H23,AF23)*AG23,"")</f>
        <v>0</v>
      </c>
      <c r="AI23" s="20" t="s">
        <v>247</v>
      </c>
      <c r="AJ23" s="19" t="s">
        <v>174</v>
      </c>
      <c r="AN23" s="20" t="s">
        <v>271</v>
      </c>
    </row>
    <row r="24" spans="1:50">
      <c r="A24" s="17" t="s">
        <v>93</v>
      </c>
      <c r="B24" s="17" t="s">
        <v>94</v>
      </c>
      <c r="C24" s="17" t="s">
        <v>95</v>
      </c>
      <c r="E24" s="17" t="s">
        <v>74</v>
      </c>
      <c r="F24" s="17" t="s">
        <v>75</v>
      </c>
      <c r="G24" s="17" t="s">
        <v>96</v>
      </c>
      <c r="H24" s="17">
        <f>BoardQty*1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13201</v>
      </c>
      <c r="R24" s="18">
        <f>iferror(lookup(if(Q24="",H24,Q24),{0,1,10,100,1000,2500,5000,15000},{0.0,0.1,0.028,0.0115,0.00518,0.0045,0.00371,0.00323}),"")</f>
        <v>0</v>
      </c>
      <c r="S24" s="18">
        <f>iferror(if(Q24="",H24,Q24)*R24,"")</f>
        <v>0</v>
      </c>
      <c r="T24" s="20" t="s">
        <v>190</v>
      </c>
      <c r="U24" s="19" t="s">
        <v>174</v>
      </c>
      <c r="W24" s="18">
        <f>iferror(USD_GBP*lookup(if(V24="",H24,V24),{0,1,30000},{0.0,0.0046,0.0046}),"")</f>
        <v>0</v>
      </c>
      <c r="X24" s="18">
        <f>iferror(if(V24="",H24,V24)*W24,"")</f>
        <v>0</v>
      </c>
      <c r="Y24" s="20" t="s">
        <v>216</v>
      </c>
      <c r="Z24" s="17">
        <v>14800</v>
      </c>
      <c r="AB24" s="18">
        <f>iferror(lookup(if(AA24="",H24,AA24),{0,1,50,500,1500,5000,25000,50000},{0.0,0.0063,0.0063,0.0048,0.0045,0.0042,0.0041,0.004}),"")</f>
        <v>0</v>
      </c>
      <c r="AC24" s="18">
        <f>iferror(if(AA24="",H24,AA24)*AB24,"")</f>
        <v>0</v>
      </c>
      <c r="AD24" s="20" t="s">
        <v>230</v>
      </c>
      <c r="AE24" s="17">
        <v>87234</v>
      </c>
      <c r="AG24" s="18">
        <f>iferror(lookup(if(AF24="",H24,AF24),{0,1,10,50,100,1000,10000},{0.0,0.1,0.027,0.027,0.011,0.005,0.003}),"")</f>
        <v>0</v>
      </c>
      <c r="AH24" s="18">
        <f>iferror(if(AF24="",H24,AF24)*AG24,"")</f>
        <v>0</v>
      </c>
      <c r="AI24" s="20" t="s">
        <v>248</v>
      </c>
      <c r="AJ24" s="19" t="s">
        <v>174</v>
      </c>
      <c r="AN24" s="20" t="s">
        <v>272</v>
      </c>
      <c r="AO24" s="17">
        <v>37000</v>
      </c>
      <c r="AQ24" s="18">
        <f>iferror(USD_GBP*lookup(if(AP24="",H24,AP24),{0,1,15000},{0.0,0.004,0.004}),"")</f>
        <v>0</v>
      </c>
      <c r="AR24" s="18">
        <f>iferror(if(AP24="",H24,AP24)*AQ24,"")</f>
        <v>0</v>
      </c>
      <c r="AS24" s="20" t="s">
        <v>284</v>
      </c>
    </row>
    <row r="25" spans="1:50">
      <c r="A25" s="17" t="s">
        <v>97</v>
      </c>
      <c r="B25" s="17" t="s">
        <v>98</v>
      </c>
      <c r="C25" s="17" t="s">
        <v>99</v>
      </c>
      <c r="E25" s="17" t="s">
        <v>74</v>
      </c>
      <c r="F25" s="17" t="s">
        <v>75</v>
      </c>
      <c r="G25" s="17" t="s">
        <v>100</v>
      </c>
      <c r="H25" s="17">
        <f>BoardQty*3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491082</v>
      </c>
      <c r="R25" s="18">
        <f>iferror(lookup(if(Q25="",H25,Q25),{0,1,10,100,1000,2500,5000,15000},{0.0,0.1,0.028,0.0115,0.00518,0.0045,0.00371,0.00323}),"")</f>
        <v>0</v>
      </c>
      <c r="S25" s="18">
        <f>iferror(if(Q25="",H25,Q25)*R25,"")</f>
        <v>0</v>
      </c>
      <c r="T25" s="20" t="s">
        <v>191</v>
      </c>
      <c r="U25" s="19" t="s">
        <v>174</v>
      </c>
      <c r="W25" s="18">
        <f>iferror(USD_GBP*lookup(if(V25="",H25,V25),{0,1,30000},{0.0,0.0046,0.0046}),"")</f>
        <v>0</v>
      </c>
      <c r="X25" s="18">
        <f>iferror(if(V25="",H25,V25)*W25,"")</f>
        <v>0</v>
      </c>
      <c r="Y25" s="20" t="s">
        <v>217</v>
      </c>
      <c r="Z25" s="17">
        <v>4000</v>
      </c>
      <c r="AB25" s="18">
        <f>iferror(lookup(if(AA25="",H25,AA25),{0,1,50,500,1500,5000,25000,50000},{0.0,0.0197,0.0197,0.0151,0.0143,0.0135,0.0131,0.0129}),"")</f>
        <v>0</v>
      </c>
      <c r="AC25" s="18">
        <f>iferror(if(AA25="",H25,AA25)*AB25,"")</f>
        <v>0</v>
      </c>
      <c r="AD25" s="20" t="s">
        <v>231</v>
      </c>
      <c r="AE25" s="17">
        <v>80383</v>
      </c>
      <c r="AG25" s="18">
        <f>iferror(lookup(if(AF25="",H25,AF25),{0,1,10,50,100,1000,10000},{0.0,0.1,0.027,0.027,0.011,0.005,0.003}),"")</f>
        <v>0</v>
      </c>
      <c r="AH25" s="18">
        <f>iferror(if(AF25="",H25,AF25)*AG25,"")</f>
        <v>0</v>
      </c>
      <c r="AI25" s="20" t="s">
        <v>249</v>
      </c>
      <c r="AJ25" s="19" t="s">
        <v>174</v>
      </c>
      <c r="AL25" s="18">
        <f>iferror(lookup(if(AK25="",H25,AK25),{0,1,45000},{0.0,0.004,0.004}),"")</f>
        <v>0</v>
      </c>
      <c r="AM25" s="18">
        <f>iferror(if(AK25="",H25,AK25)*AL25,"")</f>
        <v>0</v>
      </c>
      <c r="AN25" s="20" t="s">
        <v>273</v>
      </c>
      <c r="AO25" s="17">
        <v>8000</v>
      </c>
      <c r="AQ25" s="18">
        <f>iferror(USD_GBP*lookup(if(AP25="",H25,AP25),{0,1,15000},{0.0,0.006,0.006}),"")</f>
        <v>0</v>
      </c>
      <c r="AR25" s="18">
        <f>iferror(if(AP25="",H25,AP25)*AQ25,"")</f>
        <v>0</v>
      </c>
      <c r="AS25" s="20" t="s">
        <v>285</v>
      </c>
    </row>
    <row r="26" spans="1:50">
      <c r="A26" s="17" t="s">
        <v>101</v>
      </c>
      <c r="B26" s="17" t="s">
        <v>102</v>
      </c>
      <c r="C26" s="17" t="s">
        <v>103</v>
      </c>
      <c r="E26" s="17" t="s">
        <v>104</v>
      </c>
      <c r="F26" s="17" t="s">
        <v>105</v>
      </c>
      <c r="G26" s="17" t="s">
        <v>102</v>
      </c>
      <c r="H26" s="17">
        <f>BoardQty*1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12349</v>
      </c>
      <c r="R26" s="18">
        <f>iferror(lookup(if(Q26="",H26,Q26),{0,1,10,25,100,250,500,1000,2500,8500,17000},{0.0,0.22,0.211,0.2,0.1819,0.171,0.15644,0.13097,0.12733,0.12005,0.11278}),"")</f>
        <v>0</v>
      </c>
      <c r="S26" s="18">
        <f>iferror(if(Q26="",H26,Q26)*R26,"")</f>
        <v>0</v>
      </c>
      <c r="T26" s="20" t="s">
        <v>192</v>
      </c>
      <c r="U26" s="17">
        <v>7370</v>
      </c>
      <c r="W26" s="18">
        <f>iferror(USD_GBP*lookup(if(V26="",H26,V26),{0,1,10,50,100,500},{0.0,0.155,0.155,0.146,0.133,0.123}),"")</f>
        <v>0</v>
      </c>
      <c r="X26" s="18">
        <f>iferror(if(V26="",H26,V26)*W26,"")</f>
        <v>0</v>
      </c>
      <c r="Y26" s="20" t="s">
        <v>218</v>
      </c>
      <c r="Z26" s="17">
        <v>18849</v>
      </c>
      <c r="AB26" s="18">
        <f>iferror(lookup(if(AA26="",H26,AA26),{0,1,10,30,100,500,1000},{0.0,0.1983,0.1436,0.1336,0.1235,0.1191,0.1169}),"")</f>
        <v>0</v>
      </c>
      <c r="AC26" s="18">
        <f>iferror(if(AA26="",H26,AA26)*AB26,"")</f>
        <v>0</v>
      </c>
      <c r="AD26" s="20" t="s">
        <v>232</v>
      </c>
      <c r="AE26" s="17">
        <v>11717</v>
      </c>
      <c r="AG26" s="18">
        <f>iferror(lookup(if(AF26="",H26,AF26),{0,1,10,50,100,1000,10000},{0.0,0.22,0.211,0.194,0.173,0.119,0.119}),"")</f>
        <v>0</v>
      </c>
      <c r="AH26" s="18">
        <f>iferror(if(AF26="",H26,AF26)*AG26,"")</f>
        <v>0</v>
      </c>
      <c r="AI26" s="20" t="s">
        <v>250</v>
      </c>
      <c r="AJ26" s="17">
        <v>7059</v>
      </c>
      <c r="AL26" s="18">
        <f>iferror(lookup(if(AK26="",H26,AK26),{0,1,8500,100000},{0.0,0.148,0.162,0.136}),"")</f>
        <v>0</v>
      </c>
      <c r="AM26" s="18">
        <f>iferror(if(AK26="",H26,AK26)*AL26,"")</f>
        <v>0</v>
      </c>
      <c r="AN26" s="20" t="s">
        <v>274</v>
      </c>
      <c r="AT26" s="17">
        <v>2885</v>
      </c>
      <c r="AV26" s="18">
        <f>iferror(USD_GBP*lookup(if(AU26="",H26,AU26),{0,1,5,100,1000,3000,8500},{0.0,0.1646,0.1646,0.1386,0.0953,0.0849,0.0832}),"")</f>
        <v>0</v>
      </c>
      <c r="AW26" s="18">
        <f>iferror(if(AU26="",H26,AU26)*AV26,"")</f>
        <v>0</v>
      </c>
      <c r="AX26" s="20" t="s">
        <v>292</v>
      </c>
    </row>
    <row r="27" spans="1:50">
      <c r="A27" s="17" t="s">
        <v>106</v>
      </c>
      <c r="B27" s="17" t="s">
        <v>107</v>
      </c>
      <c r="C27" s="17" t="s">
        <v>108</v>
      </c>
      <c r="E27" s="17" t="s">
        <v>109</v>
      </c>
      <c r="F27" s="17" t="s">
        <v>110</v>
      </c>
      <c r="G27" s="17" t="s">
        <v>107</v>
      </c>
      <c r="H27" s="17">
        <f>BoardQty*1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1191</v>
      </c>
      <c r="R27" s="18">
        <f>iferror(lookup(if(Q27="",H27,Q27),{0,1,10,25,100,250,500,1000,3000,6000,15000,30000,75000},{0.0,0.35,0.258,0.2256,0.146,0.12084,0.09668,0.07412,0.06445,0.058,0.05156,0.04834,0.0456}),"")</f>
        <v>0</v>
      </c>
      <c r="S27" s="18">
        <f>iferror(if(Q27="",H27,Q27)*R27,"")</f>
        <v>0</v>
      </c>
      <c r="T27" s="20" t="s">
        <v>193</v>
      </c>
      <c r="U27" s="17">
        <v>1973</v>
      </c>
      <c r="W27" s="18">
        <f>iferror(USD_GBP*lookup(if(V27="",H27,V27),{0,1,5,10,100,500,3000},{0.0,0.334,0.334,0.224,0.0886,0.0551,0.0434}),"")</f>
        <v>0</v>
      </c>
      <c r="X27" s="18">
        <f>iferror(if(V27="",H27,V27)*W27,"")</f>
        <v>0</v>
      </c>
      <c r="Y27" s="20" t="s">
        <v>219</v>
      </c>
      <c r="AE27" s="17">
        <v>13244</v>
      </c>
      <c r="AG27" s="18">
        <f>iferror(lookup(if(AF27="",H27,AF27),{0,1,10,50,100,1000,10000},{0.0,0.46,0.343,0.343,0.172,0.099,0.068}),"")</f>
        <v>0</v>
      </c>
      <c r="AH27" s="18">
        <f>iferror(if(AF27="",H27,AF27)*AG27,"")</f>
        <v>0</v>
      </c>
      <c r="AI27" s="20" t="s">
        <v>251</v>
      </c>
      <c r="AJ27" s="17">
        <v>1948</v>
      </c>
      <c r="AL27" s="18">
        <f>iferror(lookup(if(AK27="",H27,AK27),{0,1,5,10,25,50,100,250,500,1000,3000,12000,18000,48000,90000},{0.0,0.312,0.312,0.24,0.164,0.136,0.114,0.091,0.076,0.063,0.05,0.05,0.042,0.038,0.036}),"")</f>
        <v>0</v>
      </c>
      <c r="AM27" s="18">
        <f>iferror(if(AK27="",H27,AK27)*AL27,"")</f>
        <v>0</v>
      </c>
      <c r="AN27" s="20" t="s">
        <v>275</v>
      </c>
      <c r="AO27" s="17">
        <v>3000</v>
      </c>
      <c r="AQ27" s="18">
        <f>iferror(USD_GBP*lookup(if(AP27="",H27,AP27),{0,1,3000,9000,24000,45000,99000},{0.0,0.027,0.027,0.031,0.03,0.029,0.028}),"")</f>
        <v>0</v>
      </c>
      <c r="AR27" s="18">
        <f>iferror(if(AP27="",H27,AP27)*AQ27,"")</f>
        <v>0</v>
      </c>
      <c r="AS27" s="20" t="s">
        <v>286</v>
      </c>
    </row>
    <row r="28" spans="1:50">
      <c r="A28" s="17" t="s">
        <v>111</v>
      </c>
      <c r="B28" s="17" t="s">
        <v>112</v>
      </c>
      <c r="C28" s="17" t="s">
        <v>113</v>
      </c>
      <c r="E28" s="17" t="s">
        <v>109</v>
      </c>
      <c r="F28" s="17" t="s">
        <v>110</v>
      </c>
      <c r="G28" s="17" t="s">
        <v>112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2741</v>
      </c>
      <c r="R28" s="18">
        <f>iferror(lookup(if(Q28="",H28,Q28),{0,1,10,25,100,250,500,1000,3000,6000,15000,30000},{0.0,0.54,0.438,0.4012,0.2985,0.27052,0.22388,0.1679,0.15391,0.14458,0.13526,0.132}),"")</f>
        <v>0</v>
      </c>
      <c r="S28" s="18">
        <f>iferror(if(Q28="",H28,Q28)*R28,"")</f>
        <v>0</v>
      </c>
      <c r="T28" s="20" t="s">
        <v>194</v>
      </c>
      <c r="U28" s="17">
        <v>215</v>
      </c>
      <c r="W28" s="18">
        <f>iferror(USD_GBP*lookup(if(V28="",H28,V28),{0,1,5,10,100,150,500,3000,9000,24000,45000},{0.0,0.422,0.422,0.309,0.142,0.142,0.105,0.0914,0.0882,0.0851,0.0836}),"")</f>
        <v>0</v>
      </c>
      <c r="X28" s="18">
        <f>iferror(if(V28="",H28,V28)*W28,"")</f>
        <v>0</v>
      </c>
      <c r="Y28" s="20" t="s">
        <v>220</v>
      </c>
      <c r="AE28" s="17">
        <v>8389</v>
      </c>
      <c r="AG28" s="18">
        <f>iferror(lookup(if(AF28="",H28,AF28),{0,1,10,50,100,1000,10000},{0.0,0.47,0.403,0.403,0.279,0.183,0.146}),"")</f>
        <v>0</v>
      </c>
      <c r="AH28" s="18">
        <f>iferror(if(AF28="",H28,AF28)*AG28,"")</f>
        <v>0</v>
      </c>
      <c r="AI28" s="20" t="s">
        <v>252</v>
      </c>
      <c r="AJ28" s="17">
        <v>190</v>
      </c>
      <c r="AL28" s="18">
        <f>iferror(lookup(if(AK28="",H28,AK28),{0,1,5,10,25,50,100,250,500,1000,3000,6000,12000,18000,24000,30000,300000},{0.0,0.582,0.582,0.447,0.372,0.313,0.262,0.223,0.182,0.155,0.141,0.132,0.121,0.121,0.12,0.12,0.12}),"")</f>
        <v>0</v>
      </c>
      <c r="AM28" s="18">
        <f>iferror(if(AK28="",H28,AK28)*AL28,"")</f>
        <v>0</v>
      </c>
      <c r="AN28" s="20" t="s">
        <v>276</v>
      </c>
      <c r="AO28" s="17">
        <v>12</v>
      </c>
      <c r="AQ28" s="18">
        <f>iferror(USD_GBP*lookup(if(AP28="",H28,AP28),{0,1,3000},{0.0,0.11,0.11}),"")</f>
        <v>0</v>
      </c>
      <c r="AR28" s="18">
        <f>iferror(if(AP28="",H28,AP28)*AQ28,"")</f>
        <v>0</v>
      </c>
      <c r="AS28" s="20" t="s">
        <v>287</v>
      </c>
    </row>
    <row r="29" spans="1:50">
      <c r="A29" s="17" t="s">
        <v>114</v>
      </c>
      <c r="B29" s="17" t="s">
        <v>115</v>
      </c>
      <c r="C29" s="17" t="s">
        <v>116</v>
      </c>
      <c r="E29" s="17" t="s">
        <v>117</v>
      </c>
      <c r="F29" s="17" t="s">
        <v>118</v>
      </c>
      <c r="G29" s="17" t="s">
        <v>115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9" t="s">
        <v>174</v>
      </c>
      <c r="R29" s="18">
        <f>iferror(lookup(if(Q29="",H29,Q29),{0,1,2000},{0.0,1.336,1.336}),"")</f>
        <v>0</v>
      </c>
      <c r="S29" s="18">
        <f>iferror(if(Q29="",H29,Q29)*R29,"")</f>
        <v>0</v>
      </c>
      <c r="T29" s="20" t="s">
        <v>195</v>
      </c>
      <c r="Z29" s="17">
        <v>1990</v>
      </c>
      <c r="AB29" s="18">
        <f>iferror(lookup(if(AA29="",H29,AA29),{0,1,10,30,100,500,1000},{0.0,1.4156,1.0496,0.9828,0.9161,0.8855,0.871}),"")</f>
        <v>0</v>
      </c>
      <c r="AC29" s="18">
        <f>iferror(if(AA29="",H29,AA29)*AB29,"")</f>
        <v>0</v>
      </c>
      <c r="AD29" s="20" t="s">
        <v>233</v>
      </c>
      <c r="AE29" s="17">
        <v>594</v>
      </c>
      <c r="AG29" s="18">
        <f>iferror(lookup(if(AF29="",H29,AF29),{0,1,10,50,100,1000,10000},{0.0,2.5,2.25,2.12,1.61,1.3,1.11}),"")</f>
        <v>0</v>
      </c>
      <c r="AH29" s="18">
        <f>iferror(if(AF29="",H29,AF29)*AG29,"")</f>
        <v>0</v>
      </c>
      <c r="AI29" s="20" t="s">
        <v>253</v>
      </c>
    </row>
    <row r="30" spans="1:50">
      <c r="A30" s="17" t="s">
        <v>119</v>
      </c>
      <c r="B30" s="17" t="s">
        <v>120</v>
      </c>
      <c r="C30" s="17" t="s">
        <v>121</v>
      </c>
      <c r="D30" s="17" t="s">
        <v>124</v>
      </c>
      <c r="E30" s="17" t="s">
        <v>122</v>
      </c>
      <c r="F30" s="17" t="s">
        <v>123</v>
      </c>
      <c r="G30" s="17" t="s">
        <v>120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9" t="s">
        <v>174</v>
      </c>
      <c r="R30" s="18">
        <f>iferror(lookup(if(Q30="",H30,Q30),{0,1,10},{0.0,3.54,3.5}),"")</f>
        <v>0</v>
      </c>
      <c r="S30" s="18">
        <f>iferror(if(Q30="",H30,Q30)*R30,"")</f>
        <v>0</v>
      </c>
      <c r="T30" s="20" t="s">
        <v>196</v>
      </c>
      <c r="U30" s="19" t="s">
        <v>174</v>
      </c>
      <c r="W30" s="18">
        <f>iferror(USD_GBP*lookup(if(V30="",H30,V30),{0,1,10,25,50,100,250,500,1000},{0.0,2.9,2.17,2.05,1.92,1.8,1.61,1.54,1.28}),"")</f>
        <v>0</v>
      </c>
      <c r="X30" s="18">
        <f>iferror(if(V30="",H30,V30)*W30,"")</f>
        <v>0</v>
      </c>
      <c r="Y30" s="20" t="s">
        <v>221</v>
      </c>
      <c r="AE30" s="19" t="s">
        <v>174</v>
      </c>
      <c r="AG30" s="18">
        <f>iferror(lookup(if(AF30="",H30,AF30),{0,1,10,50,100,1000,10000},{0.0,3.58,3.22,3.04,2.64,2.55,2.54}),"")</f>
        <v>0</v>
      </c>
      <c r="AH30" s="18">
        <f>iferror(if(AF30="",H30,AF30)*AG30,"")</f>
        <v>0</v>
      </c>
      <c r="AI30" s="20" t="s">
        <v>254</v>
      </c>
      <c r="AJ30" s="19" t="s">
        <v>174</v>
      </c>
      <c r="AL30" s="18">
        <f>iferror(lookup(if(AK30="",H30,AK30),{0,1,10,25,50,100,250,2450},{0.0,3.83,3.13,2.94,2.76,2.58,2.31,2.31}),"")</f>
        <v>0</v>
      </c>
      <c r="AM30" s="18">
        <f>iferror(if(AK30="",H30,AK30)*AL30,"")</f>
        <v>0</v>
      </c>
      <c r="AN30" s="20" t="s">
        <v>277</v>
      </c>
    </row>
    <row r="31" spans="1:50">
      <c r="A31" s="17" t="s">
        <v>125</v>
      </c>
      <c r="B31" s="17" t="s">
        <v>126</v>
      </c>
      <c r="C31" s="17" t="s">
        <v>127</v>
      </c>
      <c r="E31" s="17" t="s">
        <v>128</v>
      </c>
      <c r="F31" s="17" t="s">
        <v>110</v>
      </c>
      <c r="G31" s="17" t="s">
        <v>129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7992</v>
      </c>
      <c r="R31" s="18">
        <f>iferror(lookup(if(Q31="",H31,Q31),{0,1,10,25,50,100,250,500,1000,4000,8000,12000,28000},{0.0,0.22,0.208,0.1984,0.192,0.1856,0.176,0.1472,0.11424,0.1088,0.1024,0.096,0.0896}),"")</f>
        <v>0</v>
      </c>
      <c r="S31" s="18">
        <f>iferror(if(Q31="",H31,Q31)*R31,"")</f>
        <v>0</v>
      </c>
      <c r="T31" s="20" t="s">
        <v>197</v>
      </c>
      <c r="U31" s="17">
        <v>2727</v>
      </c>
      <c r="W31" s="18">
        <f>iferror(USD_GBP*lookup(if(V31="",H31,V31),{0,1,5,10,100,150,500,4000,12000,32000,60000},{0.0,0.237,0.237,0.2,0.137,0.137,0.104,0.0973,0.0941,0.092,0.0887}),"")</f>
        <v>0</v>
      </c>
      <c r="X31" s="18">
        <f>iferror(if(V31="",H31,V31)*W31,"")</f>
        <v>0</v>
      </c>
      <c r="Y31" s="20" t="s">
        <v>222</v>
      </c>
      <c r="AE31" s="17">
        <v>2</v>
      </c>
      <c r="AG31" s="18">
        <f>iferror(lookup(if(AF31="",H31,AF31),{0,1,10,50,100,1000,10000},{0.0,0.45,0.351,0.351,0.211,0.133,0.106}),"")</f>
        <v>0</v>
      </c>
      <c r="AH31" s="18">
        <f>iferror(if(AF31="",H31,AF31)*AG31,"")</f>
        <v>0</v>
      </c>
      <c r="AI31" s="20" t="s">
        <v>255</v>
      </c>
      <c r="AJ31" s="17">
        <v>280</v>
      </c>
      <c r="AL31" s="18">
        <f>iferror(lookup(if(AK31="",H31,AK31),{0,1,10,100,4000,6000,8000,12000,18000,30000},{0.0,0.23,0.218,0.196,0.131,0.117,0.133,0.106,0.098,0.091}),"")</f>
        <v>0</v>
      </c>
      <c r="AM31" s="18">
        <f>iferror(if(AK31="",H31,AK31)*AL31,"")</f>
        <v>0</v>
      </c>
      <c r="AN31" s="20" t="s">
        <v>278</v>
      </c>
      <c r="AO31" s="17">
        <v>1200</v>
      </c>
      <c r="AQ31" s="18">
        <f>iferror(USD_GBP*lookup(if(AP31="",H31,AP31),{0,1,50,100,1000,4000,8000},{0.0,0.147,0.147,0.113,0.109,0.102,0.092}),"")</f>
        <v>0</v>
      </c>
      <c r="AR31" s="18">
        <f>iferror(if(AP31="",H31,AP31)*AQ31,"")</f>
        <v>0</v>
      </c>
      <c r="AS31" s="20" t="s">
        <v>288</v>
      </c>
      <c r="AT31" s="17">
        <v>2794</v>
      </c>
      <c r="AV31" s="18">
        <f>iferror(USD_GBP*lookup(if(AU31="",H31,AU31),{0,1,5,25,100,500,2000},{0.0,0.16374,0.16374,0.14728,0.12995,0.11695,0.10916}),"")</f>
        <v>0</v>
      </c>
      <c r="AW31" s="18">
        <f>iferror(if(AU31="",H31,AU31)*AV31,"")</f>
        <v>0</v>
      </c>
      <c r="AX31" s="20" t="s">
        <v>129</v>
      </c>
    </row>
    <row r="32" spans="1:50">
      <c r="A32" s="17" t="s">
        <v>130</v>
      </c>
      <c r="B32" s="17" t="s">
        <v>131</v>
      </c>
      <c r="C32" s="17" t="s">
        <v>132</v>
      </c>
      <c r="D32" s="17" t="s">
        <v>135</v>
      </c>
      <c r="E32" s="17" t="s">
        <v>133</v>
      </c>
      <c r="F32" s="17" t="s">
        <v>134</v>
      </c>
      <c r="G32" s="17" t="s">
        <v>131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</row>
    <row r="33" spans="1:49">
      <c r="A33" s="17" t="s">
        <v>136</v>
      </c>
      <c r="B33" s="17" t="s">
        <v>137</v>
      </c>
      <c r="C33" s="17" t="s">
        <v>138</v>
      </c>
      <c r="D33" s="17" t="s">
        <v>141</v>
      </c>
      <c r="E33" s="17" t="s">
        <v>139</v>
      </c>
      <c r="F33" s="17" t="s">
        <v>140</v>
      </c>
      <c r="G33" s="17" t="s">
        <v>137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19" t="s">
        <v>174</v>
      </c>
      <c r="R33" s="18">
        <f>iferror(lookup(if(Q33="",H33,Q33),{0,1,10,25,50,100,250,500,1000,5000},{0.0,1.72,1.566,1.5232,1.5154,1.3547,1.35072,1.33034,1.27387,1.18601}),"")</f>
        <v>0</v>
      </c>
      <c r="S33" s="18">
        <f>iferror(if(Q33="",H33,Q33)*R33,"")</f>
        <v>0</v>
      </c>
      <c r="T33" s="20" t="s">
        <v>198</v>
      </c>
    </row>
    <row r="34" spans="1:49">
      <c r="A34" s="17" t="s">
        <v>142</v>
      </c>
      <c r="B34" s="17" t="s">
        <v>143</v>
      </c>
      <c r="C34" s="17" t="s">
        <v>144</v>
      </c>
      <c r="E34" s="17" t="s">
        <v>145</v>
      </c>
      <c r="F34" s="17" t="s">
        <v>146</v>
      </c>
      <c r="G34" s="17" t="s">
        <v>143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17">
        <v>333</v>
      </c>
      <c r="R34" s="18">
        <f>iferror(lookup(if(Q34="",H34,Q34),{0,1,25,100,2000},{0.0,6.0,5.25,5.005,5.005}),"")</f>
        <v>0</v>
      </c>
      <c r="S34" s="18">
        <f>iferror(if(Q34="",H34,Q34)*R34,"")</f>
        <v>0</v>
      </c>
      <c r="T34" s="20" t="s">
        <v>199</v>
      </c>
      <c r="AE34" s="17">
        <v>2559</v>
      </c>
      <c r="AG34" s="18">
        <f>iferror(lookup(if(AF34="",H34,AF34),{0,1,10,50,100,1000,10000},{0.0,6.06,6.06,5.31,5.06,5.06,5.05}),"")</f>
        <v>0</v>
      </c>
      <c r="AH34" s="18">
        <f>iferror(if(AF34="",H34,AF34)*AG34,"")</f>
        <v>0</v>
      </c>
      <c r="AI34" s="20" t="s">
        <v>256</v>
      </c>
    </row>
    <row r="35" spans="1:49">
      <c r="A35" s="17" t="s">
        <v>147</v>
      </c>
      <c r="B35" s="17" t="s">
        <v>148</v>
      </c>
      <c r="C35" s="17" t="s">
        <v>149</v>
      </c>
      <c r="E35" s="17" t="s">
        <v>150</v>
      </c>
      <c r="F35" s="17" t="s">
        <v>151</v>
      </c>
      <c r="G35" s="17" t="s">
        <v>148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7">
        <v>628</v>
      </c>
      <c r="R35" s="18">
        <f>iferror(lookup(if(Q35="",H35,Q35),{0,1,10,50,100,500,1000,3000},{0.0,1.9,1.819,1.7764,1.5226,1.48032,1.2477,1.18426}),"")</f>
        <v>0</v>
      </c>
      <c r="S35" s="18">
        <f>iferror(if(Q35="",H35,Q35)*R35,"")</f>
        <v>0</v>
      </c>
      <c r="T35" s="20" t="s">
        <v>200</v>
      </c>
      <c r="AE35" s="17">
        <v>2147</v>
      </c>
      <c r="AG35" s="18">
        <f>iferror(lookup(if(AF35="",H35,AF35),{0,1,10,50,100,1000,10000},{0.0,1.82,1.74,1.69,1.46,1.28,1.09}),"")</f>
        <v>0</v>
      </c>
      <c r="AH35" s="18">
        <f>iferror(if(AF35="",H35,AF35)*AG35,"")</f>
        <v>0</v>
      </c>
      <c r="AI35" s="20" t="s">
        <v>257</v>
      </c>
    </row>
    <row r="37" spans="1:49">
      <c r="B37" s="21" t="s">
        <v>154</v>
      </c>
      <c r="I37" s="1" t="s">
        <v>152</v>
      </c>
      <c r="J37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37" s="20" t="s">
        <v>171</v>
      </c>
      <c r="L37" s="6">
        <f>IFERROR(IF(OR(L7:L35),COUNTIFS(L7:L35,"&gt;0",N7:N35,"&lt;&gt;")&amp;" of "&amp;(ROWS(N7:N35)-COUNTBLANK(N7:N35))&amp;" parts purchased",""),"")</f>
        <v>0</v>
      </c>
      <c r="N37" s="5">
        <f>SUMIF(L7:L35,"&gt;0",N7:N35)</f>
        <v>0</v>
      </c>
      <c r="P37" s="20" t="s">
        <v>171</v>
      </c>
      <c r="Q37" s="6">
        <f>IFERROR(IF(OR(Q7:Q35),COUNTIFS(Q7:Q35,"&gt;0",S7:S35,"&lt;&gt;")&amp;" of "&amp;(ROWS(S7:S35)-COUNTBLANK(S7:S35))&amp;" parts purchased",""),"")</f>
        <v>0</v>
      </c>
      <c r="S37" s="5">
        <f>SUMIF(Q7:Q35,"&gt;0",S7:S35)</f>
        <v>0</v>
      </c>
      <c r="U37" s="20" t="s">
        <v>171</v>
      </c>
      <c r="V37" s="6">
        <f>IFERROR(IF(OR(V7:V35),COUNTIFS(V7:V35,"&gt;0",X7:X35,"&lt;&gt;")&amp;" of "&amp;(ROWS(X7:X35)-COUNTBLANK(X7:X35))&amp;" parts purchased",""),"")</f>
        <v>0</v>
      </c>
      <c r="X37" s="5">
        <f>SUMIF(V7:V35,"&gt;0",X7:X35)</f>
        <v>0</v>
      </c>
      <c r="Z37" s="20" t="s">
        <v>171</v>
      </c>
      <c r="AA37" s="6">
        <f>IFERROR(IF(OR(AA7:AA35),COUNTIFS(AA7:AA35,"&gt;0",AC7:AC35,"&lt;&gt;")&amp;" of "&amp;(ROWS(AC7:AC35)-COUNTBLANK(AC7:AC35))&amp;" parts purchased",""),"")</f>
        <v>0</v>
      </c>
      <c r="AC37" s="5">
        <f>SUMIF(AA7:AA35,"&gt;0",AC7:AC35)</f>
        <v>0</v>
      </c>
      <c r="AE37" s="20" t="s">
        <v>171</v>
      </c>
      <c r="AF37" s="6">
        <f>IFERROR(IF(OR(AF7:AF35),COUNTIFS(AF7:AF35,"&gt;0",AH7:AH35,"&lt;&gt;")&amp;" of "&amp;(ROWS(AH7:AH35)-COUNTBLANK(AH7:AH35))&amp;" parts purchased",""),"")</f>
        <v>0</v>
      </c>
      <c r="AH37" s="5">
        <f>SUMIF(AF7:AF35,"&gt;0",AH7:AH35)</f>
        <v>0</v>
      </c>
      <c r="AJ37" s="20" t="s">
        <v>171</v>
      </c>
      <c r="AK37" s="6">
        <f>IFERROR(IF(OR(AK7:AK35),COUNTIFS(AK7:AK35,"&gt;0",AM7:AM35,"&lt;&gt;")&amp;" of "&amp;(ROWS(AM7:AM35)-COUNTBLANK(AM7:AM35))&amp;" parts purchased",""),"")</f>
        <v>0</v>
      </c>
      <c r="AM37" s="5">
        <f>SUMIF(AK7:AK35,"&gt;0",AM7:AM35)</f>
        <v>0</v>
      </c>
      <c r="AO37" s="20" t="s">
        <v>171</v>
      </c>
      <c r="AP37" s="6">
        <f>IFERROR(IF(OR(AP7:AP35),COUNTIFS(AP7:AP35,"&gt;0",AR7:AR35,"&lt;&gt;")&amp;" of "&amp;(ROWS(AR7:AR35)-COUNTBLANK(AR7:AR35))&amp;" parts purchased",""),"")</f>
        <v>0</v>
      </c>
      <c r="AR37" s="5">
        <f>SUMIF(AP7:AP35,"&gt;0",AR7:AR35)</f>
        <v>0</v>
      </c>
      <c r="AT37" s="20" t="s">
        <v>171</v>
      </c>
      <c r="AU37" s="6">
        <f>IFERROR(IF(OR(AU7:AU35),COUNTIFS(AU7:AU35,"&gt;0",AW7:AW35,"&lt;&gt;")&amp;" of "&amp;(ROWS(AW7:AW35)-COUNTBLANK(AW7:AW35))&amp;" parts purchased",""),"")</f>
        <v>0</v>
      </c>
      <c r="AW37" s="5">
        <f>SUMIF(AU7:AU35,"&gt;0",AW7:AW35)</f>
        <v>0</v>
      </c>
    </row>
    <row r="38" spans="1:49">
      <c r="B38" s="21" t="s">
        <v>155</v>
      </c>
      <c r="C38">
        <v>1.293904700565222</v>
      </c>
      <c r="I38" s="21" t="s">
        <v>153</v>
      </c>
      <c r="L38">
        <f t="array" ref="L38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38">
        <f t="array" ref="Q38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38">
        <f t="array" ref="V38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38" s="6">
        <f>IFERROR(IF(COUNTIFS(AA7:AA35,"&gt;0",AC7:AC35,"&lt;&gt;")&gt;0,"Quantity,Comment,Designator,Footprint,LCSC Part #(optional)",""),"")</f>
        <v>0</v>
      </c>
      <c r="AF38">
        <f t="array" ref="AF38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38">
        <f t="array" ref="AK38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38">
        <f t="array" ref="AP38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38">
        <f t="array" ref="AU38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39" spans="1:49">
      <c r="L39">
        <f t="array" ref="L39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39">
        <f t="array" ref="Q39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39">
        <f t="array" ref="V39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39">
        <f t="array" ref="AA39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39">
        <f t="array" ref="AF39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39">
        <f t="array" ref="AK39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39">
        <f t="array" ref="AP39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39">
        <f t="array" ref="AU39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0" spans="1:49">
      <c r="A40" s="2" t="s">
        <v>293</v>
      </c>
      <c r="L40">
        <f t="array" ref="L40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0">
        <f t="array" ref="Q40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0">
        <f t="array" ref="V40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0">
        <f t="array" ref="AA40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0">
        <f t="array" ref="AF40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0">
        <f t="array" ref="AK40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0">
        <f t="array" ref="AP40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0">
        <f t="array" ref="AU40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1" spans="1:49">
      <c r="L41">
        <f t="array" ref="L41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1">
        <f t="array" ref="Q41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1">
        <f t="array" ref="V41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1">
        <f t="array" ref="AA41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1">
        <f t="array" ref="AF41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1">
        <f t="array" ref="AK41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1">
        <f t="array" ref="AP41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1">
        <f t="array" ref="AU41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2" spans="1:49">
      <c r="L42">
        <f t="array" ref="L42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2">
        <f t="array" ref="Q42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2">
        <f t="array" ref="V42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2">
        <f t="array" ref="AA42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2">
        <f t="array" ref="AF42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2">
        <f t="array" ref="AK42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2">
        <f t="array" ref="AP42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2">
        <f t="array" ref="AU42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3" spans="1:49">
      <c r="L43">
        <f t="array" ref="L43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3">
        <f t="array" ref="Q43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3">
        <f t="array" ref="V43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3">
        <f t="array" ref="AA43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3">
        <f t="array" ref="AF43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3">
        <f t="array" ref="AK43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3">
        <f t="array" ref="AP43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3">
        <f t="array" ref="AU43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4" spans="1:49">
      <c r="L44">
        <f t="array" ref="L44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4">
        <f t="array" ref="Q44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4">
        <f t="array" ref="V44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4">
        <f t="array" ref="AA44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4">
        <f t="array" ref="AF44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4">
        <f t="array" ref="AK44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4">
        <f t="array" ref="AP44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4">
        <f t="array" ref="AU44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5" spans="1:49">
      <c r="L45">
        <f t="array" ref="L45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5">
        <f t="array" ref="Q45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5">
        <f t="array" ref="V45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5">
        <f t="array" ref="AA45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5">
        <f t="array" ref="AF45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5">
        <f t="array" ref="AK45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5">
        <f t="array" ref="AP45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5">
        <f t="array" ref="AU45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6" spans="1:49">
      <c r="L46">
        <f t="array" ref="L46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6">
        <f t="array" ref="Q46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6">
        <f t="array" ref="V46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6">
        <f t="array" ref="AA46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6">
        <f t="array" ref="AF46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6">
        <f t="array" ref="AK46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6">
        <f t="array" ref="AP46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6">
        <f t="array" ref="AU46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7" spans="1:49">
      <c r="L47">
        <f t="array" ref="L47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7">
        <f t="array" ref="Q47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7">
        <f t="array" ref="V47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7">
        <f t="array" ref="AA47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7">
        <f t="array" ref="AF47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7">
        <f t="array" ref="AK47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7">
        <f t="array" ref="AP47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7">
        <f t="array" ref="AU47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8" spans="1:49">
      <c r="L48">
        <f t="array" ref="L48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8">
        <f t="array" ref="Q48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8">
        <f t="array" ref="V48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8">
        <f t="array" ref="AA48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8">
        <f t="array" ref="AF48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8">
        <f t="array" ref="AK48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8">
        <f t="array" ref="AP48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8">
        <f t="array" ref="AU48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9" spans="12:47">
      <c r="L49">
        <f t="array" ref="L49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9">
        <f t="array" ref="Q49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9">
        <f t="array" ref="V49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9">
        <f t="array" ref="AA49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9">
        <f t="array" ref="AF49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9">
        <f t="array" ref="AK49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9">
        <f t="array" ref="AP49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9">
        <f t="array" ref="AU49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0" spans="12:47">
      <c r="L50">
        <f t="array" ref="L50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0">
        <f t="array" ref="Q50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0">
        <f t="array" ref="V50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0">
        <f t="array" ref="AA50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0">
        <f t="array" ref="AF50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0">
        <f t="array" ref="AK50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0">
        <f t="array" ref="AP50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0">
        <f t="array" ref="AU50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1" spans="12:47">
      <c r="L51">
        <f t="array" ref="L51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1">
        <f t="array" ref="Q51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1">
        <f t="array" ref="V51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1">
        <f t="array" ref="AA51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1">
        <f t="array" ref="AF51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1">
        <f t="array" ref="AK51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1">
        <f t="array" ref="AP51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1">
        <f t="array" ref="AU51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2" spans="12:47">
      <c r="L52">
        <f t="array" ref="L52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2">
        <f t="array" ref="Q52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2">
        <f t="array" ref="V52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2">
        <f t="array" ref="AA52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2">
        <f t="array" ref="AF52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2">
        <f t="array" ref="AK52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2">
        <f t="array" ref="AP52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2">
        <f t="array" ref="AU52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3" spans="12:47">
      <c r="L53">
        <f t="array" ref="L53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3">
        <f t="array" ref="Q53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3">
        <f t="array" ref="V53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3">
        <f t="array" ref="AA53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3">
        <f t="array" ref="AF53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3">
        <f t="array" ref="AK53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3">
        <f t="array" ref="AP53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3">
        <f t="array" ref="AU53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4" spans="12:47">
      <c r="L54">
        <f t="array" ref="L54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4">
        <f t="array" ref="Q54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4">
        <f t="array" ref="V54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4">
        <f t="array" ref="AA54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4">
        <f t="array" ref="AF54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4">
        <f t="array" ref="AK54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4">
        <f t="array" ref="AP54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4">
        <f t="array" ref="AU54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5" spans="12:47">
      <c r="L55">
        <f t="array" ref="L55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5">
        <f t="array" ref="Q55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5">
        <f t="array" ref="V55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5">
        <f t="array" ref="AA55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5">
        <f t="array" ref="AF55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5">
        <f t="array" ref="AK55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5">
        <f t="array" ref="AP55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5">
        <f t="array" ref="AU55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6" spans="12:47">
      <c r="L56">
        <f t="array" ref="L56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6">
        <f t="array" ref="Q56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6">
        <f t="array" ref="V56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6">
        <f t="array" ref="AA56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6">
        <f t="array" ref="AF56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6">
        <f t="array" ref="AK56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6">
        <f t="array" ref="AP56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6">
        <f t="array" ref="AU56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7" spans="12:47">
      <c r="L57">
        <f t="array" ref="L57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7">
        <f t="array" ref="Q57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7">
        <f t="array" ref="V57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7">
        <f t="array" ref="AA57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7">
        <f t="array" ref="AF57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7">
        <f t="array" ref="AK57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7">
        <f t="array" ref="AP57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7">
        <f t="array" ref="AU57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8" spans="12:47">
      <c r="L58">
        <f t="array" ref="L58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8">
        <f t="array" ref="Q58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8">
        <f t="array" ref="V58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8">
        <f t="array" ref="AA58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8">
        <f t="array" ref="AF58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8">
        <f t="array" ref="AK58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8">
        <f t="array" ref="AP58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8">
        <f t="array" ref="AU58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9" spans="12:47">
      <c r="L59">
        <f t="array" ref="L59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9">
        <f t="array" ref="Q59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9">
        <f t="array" ref="V59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9">
        <f t="array" ref="AA59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9">
        <f t="array" ref="AF59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9">
        <f t="array" ref="AK59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9">
        <f t="array" ref="AP59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9">
        <f t="array" ref="AU59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0" spans="12:47">
      <c r="L60">
        <f t="array" ref="L60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0">
        <f t="array" ref="Q60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0">
        <f t="array" ref="V60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0">
        <f t="array" ref="AA60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0">
        <f t="array" ref="AF60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0">
        <f t="array" ref="AK60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0">
        <f t="array" ref="AP60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0">
        <f t="array" ref="AU60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1" spans="12:47">
      <c r="L61">
        <f t="array" ref="L61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1">
        <f t="array" ref="Q61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1">
        <f t="array" ref="V61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1">
        <f t="array" ref="AA61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1">
        <f t="array" ref="AF61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1">
        <f t="array" ref="AK61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1">
        <f t="array" ref="AP61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1">
        <f t="array" ref="AU61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2" spans="12:47">
      <c r="L62">
        <f t="array" ref="L62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2">
        <f t="array" ref="Q62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2">
        <f t="array" ref="V62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2">
        <f t="array" ref="AA62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2">
        <f t="array" ref="AF62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2">
        <f t="array" ref="AK62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2">
        <f t="array" ref="AP62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2">
        <f t="array" ref="AU62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3" spans="12:47">
      <c r="L63">
        <f t="array" ref="L63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3">
        <f t="array" ref="Q63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3">
        <f t="array" ref="V63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3">
        <f t="array" ref="AA63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3">
        <f t="array" ref="AF63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3">
        <f t="array" ref="AK63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3">
        <f t="array" ref="AP63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3">
        <f t="array" ref="AU63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4" spans="12:47">
      <c r="L64">
        <f t="array" ref="L64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4">
        <f t="array" ref="Q64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4">
        <f t="array" ref="V64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4">
        <f t="array" ref="AA64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4">
        <f t="array" ref="AF64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4">
        <f t="array" ref="AK64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4">
        <f t="array" ref="AP64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4">
        <f t="array" ref="AU64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5" spans="12:47">
      <c r="L65">
        <f t="array" ref="L65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5">
        <f t="array" ref="Q65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5">
        <f t="array" ref="V65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5">
        <f t="array" ref="AA65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5">
        <f t="array" ref="AF65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5">
        <f t="array" ref="AK65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5">
        <f t="array" ref="AP65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5">
        <f t="array" ref="AU65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6" spans="12:47">
      <c r="L66">
        <f t="array" ref="L66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6">
        <f t="array" ref="Q66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6">
        <f t="array" ref="V66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6">
        <f t="array" ref="AA66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6">
        <f t="array" ref="AF66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6">
        <f t="array" ref="AK66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6">
        <f t="array" ref="AP66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6">
        <f t="array" ref="AU66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7" spans="12:47">
      <c r="AA67">
        <f t="array" ref="AA67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391">
      <formula>AND(AA10&gt;0,AA10&lt;10)</formula>
    </cfRule>
    <cfRule type="cellIs" dxfId="1" priority="392" operator="greaterThan">
      <formula>Z10</formula>
    </cfRule>
  </conditionalFormatting>
  <conditionalFormatting sqref="AA11">
    <cfRule type="expression" dxfId="3" priority="397">
      <formula>AND(AA11&gt;0,AA11&lt;5)</formula>
    </cfRule>
    <cfRule type="cellIs" dxfId="1" priority="398" operator="greaterThan">
      <formula>Z11</formula>
    </cfRule>
  </conditionalFormatting>
  <conditionalFormatting sqref="AA12">
    <cfRule type="expression" dxfId="3" priority="403">
      <formula>AND(AA12&gt;0,AA12&lt;50)</formula>
    </cfRule>
    <cfRule type="cellIs" dxfId="1" priority="404" operator="greaterThan">
      <formula>Z12</formula>
    </cfRule>
  </conditionalFormatting>
  <conditionalFormatting sqref="AA18">
    <cfRule type="cellIs" dxfId="1" priority="409" operator="greaterThan">
      <formula>Z18</formula>
    </cfRule>
  </conditionalFormatting>
  <conditionalFormatting sqref="AA24">
    <cfRule type="expression" dxfId="3" priority="414">
      <formula>AND(AA24&gt;0,AA24&lt;50)</formula>
    </cfRule>
    <cfRule type="cellIs" dxfId="1" priority="415" operator="greaterThan">
      <formula>Z24</formula>
    </cfRule>
  </conditionalFormatting>
  <conditionalFormatting sqref="AA25">
    <cfRule type="expression" dxfId="3" priority="420">
      <formula>AND(AA25&gt;0,AA25&lt;50)</formula>
    </cfRule>
    <cfRule type="cellIs" dxfId="1" priority="421" operator="greaterThan">
      <formula>Z25</formula>
    </cfRule>
  </conditionalFormatting>
  <conditionalFormatting sqref="AA26">
    <cfRule type="cellIs" dxfId="1" priority="426" operator="greaterThan">
      <formula>Z26</formula>
    </cfRule>
  </conditionalFormatting>
  <conditionalFormatting sqref="AA29">
    <cfRule type="cellIs" dxfId="1" priority="431" operator="greaterThan">
      <formula>Z29</formula>
    </cfRule>
  </conditionalFormatting>
  <conditionalFormatting sqref="AA7">
    <cfRule type="expression" dxfId="3" priority="379">
      <formula>AND(AA7&gt;0,AA7&lt;10)</formula>
    </cfRule>
    <cfRule type="cellIs" dxfId="1" priority="380" operator="greaterThan">
      <formula>Z7</formula>
    </cfRule>
  </conditionalFormatting>
  <conditionalFormatting sqref="AA9">
    <cfRule type="expression" dxfId="3" priority="385">
      <formula>AND(AA9&gt;0,AA9&lt;20)</formula>
    </cfRule>
    <cfRule type="cellIs" dxfId="1" priority="386" operator="greaterThan">
      <formula>Z9</formula>
    </cfRule>
  </conditionalFormatting>
  <conditionalFormatting sqref="AB10">
    <cfRule type="cellIs" dxfId="4" priority="394" operator="lessThanOrEqual">
      <formula>I10</formula>
    </cfRule>
  </conditionalFormatting>
  <conditionalFormatting sqref="AB11">
    <cfRule type="cellIs" dxfId="4" priority="400" operator="lessThanOrEqual">
      <formula>I11</formula>
    </cfRule>
  </conditionalFormatting>
  <conditionalFormatting sqref="AB12">
    <cfRule type="cellIs" dxfId="4" priority="406" operator="lessThanOrEqual">
      <formula>I12</formula>
    </cfRule>
  </conditionalFormatting>
  <conditionalFormatting sqref="AB18">
    <cfRule type="cellIs" dxfId="4" priority="411" operator="lessThanOrEqual">
      <formula>I18</formula>
    </cfRule>
  </conditionalFormatting>
  <conditionalFormatting sqref="AB24">
    <cfRule type="cellIs" dxfId="4" priority="417" operator="lessThanOrEqual">
      <formula>I24</formula>
    </cfRule>
  </conditionalFormatting>
  <conditionalFormatting sqref="AB25">
    <cfRule type="cellIs" dxfId="4" priority="423" operator="lessThanOrEqual">
      <formula>I25</formula>
    </cfRule>
  </conditionalFormatting>
  <conditionalFormatting sqref="AB26">
    <cfRule type="cellIs" dxfId="4" priority="428" operator="lessThanOrEqual">
      <formula>I26</formula>
    </cfRule>
  </conditionalFormatting>
  <conditionalFormatting sqref="AB29">
    <cfRule type="cellIs" dxfId="4" priority="433" operator="lessThanOrEqual">
      <formula>I29</formula>
    </cfRule>
  </conditionalFormatting>
  <conditionalFormatting sqref="AB7">
    <cfRule type="cellIs" dxfId="4" priority="382" operator="lessThanOrEqual">
      <formula>I7</formula>
    </cfRule>
  </conditionalFormatting>
  <conditionalFormatting sqref="AB9">
    <cfRule type="cellIs" dxfId="4" priority="388" operator="lessThanOrEqual">
      <formula>I9</formula>
    </cfRule>
  </conditionalFormatting>
  <conditionalFormatting sqref="AC10">
    <cfRule type="cellIs" dxfId="4" priority="393" operator="lessThanOrEqual">
      <formula>J10</formula>
    </cfRule>
  </conditionalFormatting>
  <conditionalFormatting sqref="AC11">
    <cfRule type="cellIs" dxfId="4" priority="399" operator="lessThanOrEqual">
      <formula>J11</formula>
    </cfRule>
  </conditionalFormatting>
  <conditionalFormatting sqref="AC12">
    <cfRule type="cellIs" dxfId="4" priority="405" operator="lessThanOrEqual">
      <formula>J12</formula>
    </cfRule>
  </conditionalFormatting>
  <conditionalFormatting sqref="AC18">
    <cfRule type="cellIs" dxfId="4" priority="410" operator="lessThanOrEqual">
      <formula>J18</formula>
    </cfRule>
  </conditionalFormatting>
  <conditionalFormatting sqref="AC24">
    <cfRule type="cellIs" dxfId="4" priority="416" operator="lessThanOrEqual">
      <formula>J24</formula>
    </cfRule>
  </conditionalFormatting>
  <conditionalFormatting sqref="AC25">
    <cfRule type="cellIs" dxfId="4" priority="422" operator="lessThanOrEqual">
      <formula>J25</formula>
    </cfRule>
  </conditionalFormatting>
  <conditionalFormatting sqref="AC26">
    <cfRule type="cellIs" dxfId="4" priority="427" operator="lessThanOrEqual">
      <formula>J26</formula>
    </cfRule>
  </conditionalFormatting>
  <conditionalFormatting sqref="AC29">
    <cfRule type="cellIs" dxfId="4" priority="432" operator="lessThanOrEqual">
      <formula>J29</formula>
    </cfRule>
  </conditionalFormatting>
  <conditionalFormatting sqref="AC7">
    <cfRule type="cellIs" dxfId="4" priority="381" operator="lessThanOrEqual">
      <formula>J7</formula>
    </cfRule>
  </conditionalFormatting>
  <conditionalFormatting sqref="AC9">
    <cfRule type="cellIs" dxfId="4" priority="387" operator="lessThanOrEqual">
      <formula>J9</formula>
    </cfRule>
  </conditionalFormatting>
  <conditionalFormatting sqref="AE10">
    <cfRule type="cellIs" dxfId="1" priority="444" operator="equal">
      <formula>0</formula>
    </cfRule>
    <cfRule type="cellIs" dxfId="2" priority="445" operator="lessThan">
      <formula>H10</formula>
    </cfRule>
  </conditionalFormatting>
  <conditionalFormatting sqref="AE11">
    <cfRule type="cellIs" dxfId="1" priority="449" operator="equal">
      <formula>0</formula>
    </cfRule>
    <cfRule type="cellIs" dxfId="2" priority="450" operator="lessThan">
      <formula>H11</formula>
    </cfRule>
  </conditionalFormatting>
  <conditionalFormatting sqref="AE12">
    <cfRule type="cellIs" dxfId="1" priority="454" operator="equal">
      <formula>0</formula>
    </cfRule>
    <cfRule type="cellIs" dxfId="2" priority="455" operator="lessThan">
      <formula>H12</formula>
    </cfRule>
  </conditionalFormatting>
  <conditionalFormatting sqref="AE13">
    <cfRule type="cellIs" dxfId="1" priority="459" operator="equal">
      <formula>0</formula>
    </cfRule>
    <cfRule type="cellIs" dxfId="2" priority="460" operator="lessThan">
      <formula>H13</formula>
    </cfRule>
  </conditionalFormatting>
  <conditionalFormatting sqref="AE14">
    <cfRule type="cellIs" dxfId="1" priority="464" operator="equal">
      <formula>0</formula>
    </cfRule>
    <cfRule type="cellIs" dxfId="2" priority="465" operator="lessThan">
      <formula>H14</formula>
    </cfRule>
  </conditionalFormatting>
  <conditionalFormatting sqref="AE15">
    <cfRule type="cellIs" dxfId="1" priority="469" operator="equal">
      <formula>0</formula>
    </cfRule>
    <cfRule type="cellIs" dxfId="2" priority="470" operator="lessThan">
      <formula>H15</formula>
    </cfRule>
  </conditionalFormatting>
  <conditionalFormatting sqref="AE19">
    <cfRule type="cellIs" dxfId="1" priority="474" operator="equal">
      <formula>0</formula>
    </cfRule>
    <cfRule type="cellIs" dxfId="2" priority="475" operator="lessThan">
      <formula>H19</formula>
    </cfRule>
  </conditionalFormatting>
  <conditionalFormatting sqref="AE20">
    <cfRule type="cellIs" dxfId="1" priority="479" operator="equal">
      <formula>0</formula>
    </cfRule>
    <cfRule type="cellIs" dxfId="2" priority="480" operator="lessThan">
      <formula>H20</formula>
    </cfRule>
  </conditionalFormatting>
  <conditionalFormatting sqref="AE21">
    <cfRule type="cellIs" dxfId="1" priority="484" operator="equal">
      <formula>0</formula>
    </cfRule>
    <cfRule type="cellIs" dxfId="2" priority="485" operator="lessThan">
      <formula>H21</formula>
    </cfRule>
  </conditionalFormatting>
  <conditionalFormatting sqref="AE22">
    <cfRule type="cellIs" dxfId="1" priority="489" operator="equal">
      <formula>0</formula>
    </cfRule>
    <cfRule type="cellIs" dxfId="2" priority="490" operator="lessThan">
      <formula>H22</formula>
    </cfRule>
  </conditionalFormatting>
  <conditionalFormatting sqref="AE23">
    <cfRule type="cellIs" dxfId="1" priority="494" operator="equal">
      <formula>0</formula>
    </cfRule>
    <cfRule type="cellIs" dxfId="2" priority="495" operator="lessThan">
      <formula>H23</formula>
    </cfRule>
  </conditionalFormatting>
  <conditionalFormatting sqref="AE24">
    <cfRule type="cellIs" dxfId="1" priority="499" operator="equal">
      <formula>0</formula>
    </cfRule>
    <cfRule type="cellIs" dxfId="2" priority="500" operator="lessThan">
      <formula>H24</formula>
    </cfRule>
  </conditionalFormatting>
  <conditionalFormatting sqref="AE25">
    <cfRule type="cellIs" dxfId="1" priority="504" operator="equal">
      <formula>0</formula>
    </cfRule>
    <cfRule type="cellIs" dxfId="2" priority="505" operator="lessThan">
      <formula>H25</formula>
    </cfRule>
  </conditionalFormatting>
  <conditionalFormatting sqref="AE26">
    <cfRule type="cellIs" dxfId="1" priority="509" operator="equal">
      <formula>0</formula>
    </cfRule>
    <cfRule type="cellIs" dxfId="2" priority="510" operator="lessThan">
      <formula>H26</formula>
    </cfRule>
  </conditionalFormatting>
  <conditionalFormatting sqref="AE27">
    <cfRule type="cellIs" dxfId="1" priority="514" operator="equal">
      <formula>0</formula>
    </cfRule>
    <cfRule type="cellIs" dxfId="2" priority="515" operator="lessThan">
      <formula>H27</formula>
    </cfRule>
  </conditionalFormatting>
  <conditionalFormatting sqref="AE28">
    <cfRule type="cellIs" dxfId="1" priority="519" operator="equal">
      <formula>0</formula>
    </cfRule>
    <cfRule type="cellIs" dxfId="2" priority="520" operator="lessThan">
      <formula>H28</formula>
    </cfRule>
  </conditionalFormatting>
  <conditionalFormatting sqref="AE29">
    <cfRule type="cellIs" dxfId="1" priority="524" operator="equal">
      <formula>0</formula>
    </cfRule>
    <cfRule type="cellIs" dxfId="2" priority="525" operator="lessThan">
      <formula>H29</formula>
    </cfRule>
  </conditionalFormatting>
  <conditionalFormatting sqref="AE30">
    <cfRule type="cellIs" dxfId="1" priority="529" operator="equal">
      <formula>0</formula>
    </cfRule>
    <cfRule type="cellIs" dxfId="2" priority="530" operator="lessThan">
      <formula>H30</formula>
    </cfRule>
  </conditionalFormatting>
  <conditionalFormatting sqref="AE31">
    <cfRule type="cellIs" dxfId="1" priority="534" operator="equal">
      <formula>0</formula>
    </cfRule>
    <cfRule type="cellIs" dxfId="2" priority="535" operator="lessThan">
      <formula>H31</formula>
    </cfRule>
  </conditionalFormatting>
  <conditionalFormatting sqref="AE34">
    <cfRule type="cellIs" dxfId="1" priority="539" operator="equal">
      <formula>0</formula>
    </cfRule>
    <cfRule type="cellIs" dxfId="2" priority="540" operator="lessThan">
      <formula>H34</formula>
    </cfRule>
  </conditionalFormatting>
  <conditionalFormatting sqref="AE35">
    <cfRule type="cellIs" dxfId="1" priority="544" operator="equal">
      <formula>0</formula>
    </cfRule>
    <cfRule type="cellIs" dxfId="2" priority="545" operator="lessThan">
      <formula>H35</formula>
    </cfRule>
  </conditionalFormatting>
  <conditionalFormatting sqref="AE7">
    <cfRule type="cellIs" dxfId="1" priority="434" operator="equal">
      <formula>0</formula>
    </cfRule>
    <cfRule type="cellIs" dxfId="2" priority="435" operator="lessThan">
      <formula>H7</formula>
    </cfRule>
  </conditionalFormatting>
  <conditionalFormatting sqref="AE8">
    <cfRule type="cellIs" dxfId="1" priority="439" operator="equal">
      <formula>0</formula>
    </cfRule>
    <cfRule type="cellIs" dxfId="2" priority="440" operator="lessThan">
      <formula>H8</formula>
    </cfRule>
  </conditionalFormatting>
  <conditionalFormatting sqref="AF10">
    <cfRule type="cellIs" dxfId="1" priority="446" operator="greaterThan">
      <formula>AE10</formula>
    </cfRule>
  </conditionalFormatting>
  <conditionalFormatting sqref="AF11">
    <cfRule type="cellIs" dxfId="1" priority="451" operator="greaterThan">
      <formula>AE11</formula>
    </cfRule>
  </conditionalFormatting>
  <conditionalFormatting sqref="AF12">
    <cfRule type="cellIs" dxfId="1" priority="456" operator="greaterThan">
      <formula>AE12</formula>
    </cfRule>
  </conditionalFormatting>
  <conditionalFormatting sqref="AF13">
    <cfRule type="cellIs" dxfId="1" priority="461" operator="greaterThan">
      <formula>AE13</formula>
    </cfRule>
  </conditionalFormatting>
  <conditionalFormatting sqref="AF14">
    <cfRule type="cellIs" dxfId="1" priority="466" operator="greaterThan">
      <formula>AE14</formula>
    </cfRule>
  </conditionalFormatting>
  <conditionalFormatting sqref="AF15">
    <cfRule type="cellIs" dxfId="1" priority="471" operator="greaterThan">
      <formula>AE15</formula>
    </cfRule>
  </conditionalFormatting>
  <conditionalFormatting sqref="AF19">
    <cfRule type="cellIs" dxfId="1" priority="476" operator="greaterThan">
      <formula>AE19</formula>
    </cfRule>
  </conditionalFormatting>
  <conditionalFormatting sqref="AF20">
    <cfRule type="cellIs" dxfId="1" priority="481" operator="greaterThan">
      <formula>AE20</formula>
    </cfRule>
  </conditionalFormatting>
  <conditionalFormatting sqref="AF21">
    <cfRule type="cellIs" dxfId="1" priority="486" operator="greaterThan">
      <formula>AE21</formula>
    </cfRule>
  </conditionalFormatting>
  <conditionalFormatting sqref="AF22">
    <cfRule type="cellIs" dxfId="1" priority="491" operator="greaterThan">
      <formula>AE22</formula>
    </cfRule>
  </conditionalFormatting>
  <conditionalFormatting sqref="AF23">
    <cfRule type="cellIs" dxfId="1" priority="496" operator="greaterThan">
      <formula>AE23</formula>
    </cfRule>
  </conditionalFormatting>
  <conditionalFormatting sqref="AF24">
    <cfRule type="cellIs" dxfId="1" priority="501" operator="greaterThan">
      <formula>AE24</formula>
    </cfRule>
  </conditionalFormatting>
  <conditionalFormatting sqref="AF25">
    <cfRule type="cellIs" dxfId="1" priority="506" operator="greaterThan">
      <formula>AE25</formula>
    </cfRule>
  </conditionalFormatting>
  <conditionalFormatting sqref="AF26">
    <cfRule type="cellIs" dxfId="1" priority="511" operator="greaterThan">
      <formula>AE26</formula>
    </cfRule>
  </conditionalFormatting>
  <conditionalFormatting sqref="AF27">
    <cfRule type="cellIs" dxfId="1" priority="516" operator="greaterThan">
      <formula>AE27</formula>
    </cfRule>
  </conditionalFormatting>
  <conditionalFormatting sqref="AF28">
    <cfRule type="cellIs" dxfId="1" priority="521" operator="greaterThan">
      <formula>AE28</formula>
    </cfRule>
  </conditionalFormatting>
  <conditionalFormatting sqref="AF29">
    <cfRule type="cellIs" dxfId="1" priority="526" operator="greaterThan">
      <formula>AE29</formula>
    </cfRule>
  </conditionalFormatting>
  <conditionalFormatting sqref="AF30">
    <cfRule type="cellIs" dxfId="1" priority="531" operator="greaterThan">
      <formula>AE30</formula>
    </cfRule>
  </conditionalFormatting>
  <conditionalFormatting sqref="AF31">
    <cfRule type="cellIs" dxfId="1" priority="536" operator="greaterThan">
      <formula>AE31</formula>
    </cfRule>
  </conditionalFormatting>
  <conditionalFormatting sqref="AF34">
    <cfRule type="cellIs" dxfId="1" priority="541" operator="greaterThan">
      <formula>AE34</formula>
    </cfRule>
  </conditionalFormatting>
  <conditionalFormatting sqref="AF35">
    <cfRule type="cellIs" dxfId="1" priority="546" operator="greaterThan">
      <formula>AE35</formula>
    </cfRule>
  </conditionalFormatting>
  <conditionalFormatting sqref="AF7">
    <cfRule type="cellIs" dxfId="1" priority="436" operator="greaterThan">
      <formula>AE7</formula>
    </cfRule>
  </conditionalFormatting>
  <conditionalFormatting sqref="AF8">
    <cfRule type="cellIs" dxfId="1" priority="441" operator="greaterThan">
      <formula>AE8</formula>
    </cfRule>
  </conditionalFormatting>
  <conditionalFormatting sqref="AG10">
    <cfRule type="cellIs" dxfId="4" priority="448" operator="lessThanOrEqual">
      <formula>I10</formula>
    </cfRule>
  </conditionalFormatting>
  <conditionalFormatting sqref="AG11">
    <cfRule type="cellIs" dxfId="4" priority="453" operator="lessThanOrEqual">
      <formula>I11</formula>
    </cfRule>
  </conditionalFormatting>
  <conditionalFormatting sqref="AG12">
    <cfRule type="cellIs" dxfId="4" priority="458" operator="lessThanOrEqual">
      <formula>I12</formula>
    </cfRule>
  </conditionalFormatting>
  <conditionalFormatting sqref="AG13">
    <cfRule type="cellIs" dxfId="4" priority="463" operator="lessThanOrEqual">
      <formula>I13</formula>
    </cfRule>
  </conditionalFormatting>
  <conditionalFormatting sqref="AG14">
    <cfRule type="cellIs" dxfId="4" priority="468" operator="lessThanOrEqual">
      <formula>I14</formula>
    </cfRule>
  </conditionalFormatting>
  <conditionalFormatting sqref="AG15">
    <cfRule type="cellIs" dxfId="4" priority="473" operator="lessThanOrEqual">
      <formula>I15</formula>
    </cfRule>
  </conditionalFormatting>
  <conditionalFormatting sqref="AG19">
    <cfRule type="cellIs" dxfId="4" priority="478" operator="lessThanOrEqual">
      <formula>I19</formula>
    </cfRule>
  </conditionalFormatting>
  <conditionalFormatting sqref="AG20">
    <cfRule type="cellIs" dxfId="4" priority="483" operator="lessThanOrEqual">
      <formula>I20</formula>
    </cfRule>
  </conditionalFormatting>
  <conditionalFormatting sqref="AG21">
    <cfRule type="cellIs" dxfId="4" priority="488" operator="lessThanOrEqual">
      <formula>I21</formula>
    </cfRule>
  </conditionalFormatting>
  <conditionalFormatting sqref="AG22">
    <cfRule type="cellIs" dxfId="4" priority="493" operator="lessThanOrEqual">
      <formula>I22</formula>
    </cfRule>
  </conditionalFormatting>
  <conditionalFormatting sqref="AG23">
    <cfRule type="cellIs" dxfId="4" priority="498" operator="lessThanOrEqual">
      <formula>I23</formula>
    </cfRule>
  </conditionalFormatting>
  <conditionalFormatting sqref="AG24">
    <cfRule type="cellIs" dxfId="4" priority="503" operator="lessThanOrEqual">
      <formula>I24</formula>
    </cfRule>
  </conditionalFormatting>
  <conditionalFormatting sqref="AG25">
    <cfRule type="cellIs" dxfId="4" priority="508" operator="lessThanOrEqual">
      <formula>I25</formula>
    </cfRule>
  </conditionalFormatting>
  <conditionalFormatting sqref="AG26">
    <cfRule type="cellIs" dxfId="4" priority="513" operator="lessThanOrEqual">
      <formula>I26</formula>
    </cfRule>
  </conditionalFormatting>
  <conditionalFormatting sqref="AG27">
    <cfRule type="cellIs" dxfId="4" priority="518" operator="lessThanOrEqual">
      <formula>I27</formula>
    </cfRule>
  </conditionalFormatting>
  <conditionalFormatting sqref="AG28">
    <cfRule type="cellIs" dxfId="4" priority="523" operator="lessThanOrEqual">
      <formula>I28</formula>
    </cfRule>
  </conditionalFormatting>
  <conditionalFormatting sqref="AG29">
    <cfRule type="cellIs" dxfId="4" priority="528" operator="lessThanOrEqual">
      <formula>I29</formula>
    </cfRule>
  </conditionalFormatting>
  <conditionalFormatting sqref="AG30">
    <cfRule type="cellIs" dxfId="4" priority="533" operator="lessThanOrEqual">
      <formula>I30</formula>
    </cfRule>
  </conditionalFormatting>
  <conditionalFormatting sqref="AG31">
    <cfRule type="cellIs" dxfId="4" priority="538" operator="lessThanOrEqual">
      <formula>I31</formula>
    </cfRule>
  </conditionalFormatting>
  <conditionalFormatting sqref="AG34">
    <cfRule type="cellIs" dxfId="4" priority="543" operator="lessThanOrEqual">
      <formula>I34</formula>
    </cfRule>
  </conditionalFormatting>
  <conditionalFormatting sqref="AG35">
    <cfRule type="cellIs" dxfId="4" priority="548" operator="lessThanOrEqual">
      <formula>I35</formula>
    </cfRule>
  </conditionalFormatting>
  <conditionalFormatting sqref="AG7">
    <cfRule type="cellIs" dxfId="4" priority="438" operator="lessThanOrEqual">
      <formula>I7</formula>
    </cfRule>
  </conditionalFormatting>
  <conditionalFormatting sqref="AG8">
    <cfRule type="cellIs" dxfId="4" priority="443" operator="lessThanOrEqual">
      <formula>I8</formula>
    </cfRule>
  </conditionalFormatting>
  <conditionalFormatting sqref="AH10">
    <cfRule type="cellIs" dxfId="4" priority="447" operator="lessThanOrEqual">
      <formula>J10</formula>
    </cfRule>
  </conditionalFormatting>
  <conditionalFormatting sqref="AH11">
    <cfRule type="cellIs" dxfId="4" priority="452" operator="lessThanOrEqual">
      <formula>J11</formula>
    </cfRule>
  </conditionalFormatting>
  <conditionalFormatting sqref="AH12">
    <cfRule type="cellIs" dxfId="4" priority="457" operator="lessThanOrEqual">
      <formula>J12</formula>
    </cfRule>
  </conditionalFormatting>
  <conditionalFormatting sqref="AH13">
    <cfRule type="cellIs" dxfId="4" priority="462" operator="lessThanOrEqual">
      <formula>J13</formula>
    </cfRule>
  </conditionalFormatting>
  <conditionalFormatting sqref="AH14">
    <cfRule type="cellIs" dxfId="4" priority="467" operator="lessThanOrEqual">
      <formula>J14</formula>
    </cfRule>
  </conditionalFormatting>
  <conditionalFormatting sqref="AH15">
    <cfRule type="cellIs" dxfId="4" priority="472" operator="lessThanOrEqual">
      <formula>J15</formula>
    </cfRule>
  </conditionalFormatting>
  <conditionalFormatting sqref="AH19">
    <cfRule type="cellIs" dxfId="4" priority="477" operator="lessThanOrEqual">
      <formula>J19</formula>
    </cfRule>
  </conditionalFormatting>
  <conditionalFormatting sqref="AH20">
    <cfRule type="cellIs" dxfId="4" priority="482" operator="lessThanOrEqual">
      <formula>J20</formula>
    </cfRule>
  </conditionalFormatting>
  <conditionalFormatting sqref="AH21">
    <cfRule type="cellIs" dxfId="4" priority="487" operator="lessThanOrEqual">
      <formula>J21</formula>
    </cfRule>
  </conditionalFormatting>
  <conditionalFormatting sqref="AH22">
    <cfRule type="cellIs" dxfId="4" priority="492" operator="lessThanOrEqual">
      <formula>J22</formula>
    </cfRule>
  </conditionalFormatting>
  <conditionalFormatting sqref="AH23">
    <cfRule type="cellIs" dxfId="4" priority="497" operator="lessThanOrEqual">
      <formula>J23</formula>
    </cfRule>
  </conditionalFormatting>
  <conditionalFormatting sqref="AH24">
    <cfRule type="cellIs" dxfId="4" priority="502" operator="lessThanOrEqual">
      <formula>J24</formula>
    </cfRule>
  </conditionalFormatting>
  <conditionalFormatting sqref="AH25">
    <cfRule type="cellIs" dxfId="4" priority="507" operator="lessThanOrEqual">
      <formula>J25</formula>
    </cfRule>
  </conditionalFormatting>
  <conditionalFormatting sqref="AH26">
    <cfRule type="cellIs" dxfId="4" priority="512" operator="lessThanOrEqual">
      <formula>J26</formula>
    </cfRule>
  </conditionalFormatting>
  <conditionalFormatting sqref="AH27">
    <cfRule type="cellIs" dxfId="4" priority="517" operator="lessThanOrEqual">
      <formula>J27</formula>
    </cfRule>
  </conditionalFormatting>
  <conditionalFormatting sqref="AH28">
    <cfRule type="cellIs" dxfId="4" priority="522" operator="lessThanOrEqual">
      <formula>J28</formula>
    </cfRule>
  </conditionalFormatting>
  <conditionalFormatting sqref="AH29">
    <cfRule type="cellIs" dxfId="4" priority="527" operator="lessThanOrEqual">
      <formula>J29</formula>
    </cfRule>
  </conditionalFormatting>
  <conditionalFormatting sqref="AH30">
    <cfRule type="cellIs" dxfId="4" priority="532" operator="lessThanOrEqual">
      <formula>J30</formula>
    </cfRule>
  </conditionalFormatting>
  <conditionalFormatting sqref="AH31">
    <cfRule type="cellIs" dxfId="4" priority="537" operator="lessThanOrEqual">
      <formula>J31</formula>
    </cfRule>
  </conditionalFormatting>
  <conditionalFormatting sqref="AH34">
    <cfRule type="cellIs" dxfId="4" priority="542" operator="lessThanOrEqual">
      <formula>J34</formula>
    </cfRule>
  </conditionalFormatting>
  <conditionalFormatting sqref="AH35">
    <cfRule type="cellIs" dxfId="4" priority="547" operator="lessThanOrEqual">
      <formula>J35</formula>
    </cfRule>
  </conditionalFormatting>
  <conditionalFormatting sqref="AH7">
    <cfRule type="cellIs" dxfId="4" priority="437" operator="lessThanOrEqual">
      <formula>J7</formula>
    </cfRule>
  </conditionalFormatting>
  <conditionalFormatting sqref="AH8">
    <cfRule type="cellIs" dxfId="4" priority="442" operator="lessThanOrEqual">
      <formula>J8</formula>
    </cfRule>
  </conditionalFormatting>
  <conditionalFormatting sqref="AJ10">
    <cfRule type="cellIs" dxfId="1" priority="567" operator="equal">
      <formula>0</formula>
    </cfRule>
    <cfRule type="cellIs" dxfId="2" priority="568" operator="lessThan">
      <formula>H10</formula>
    </cfRule>
  </conditionalFormatting>
  <conditionalFormatting sqref="AJ11">
    <cfRule type="cellIs" dxfId="1" priority="573" operator="equal">
      <formula>0</formula>
    </cfRule>
    <cfRule type="cellIs" dxfId="2" priority="574" operator="lessThan">
      <formula>H11</formula>
    </cfRule>
  </conditionalFormatting>
  <conditionalFormatting sqref="AJ12">
    <cfRule type="cellIs" dxfId="1" priority="579" operator="equal">
      <formula>0</formula>
    </cfRule>
    <cfRule type="cellIs" dxfId="2" priority="580" operator="lessThan">
      <formula>H12</formula>
    </cfRule>
  </conditionalFormatting>
  <conditionalFormatting sqref="AJ13">
    <cfRule type="cellIs" dxfId="1" priority="585" operator="equal">
      <formula>0</formula>
    </cfRule>
    <cfRule type="cellIs" dxfId="2" priority="586" operator="lessThan">
      <formula>H13</formula>
    </cfRule>
  </conditionalFormatting>
  <conditionalFormatting sqref="AJ14">
    <cfRule type="cellIs" dxfId="1" priority="591" operator="equal">
      <formula>0</formula>
    </cfRule>
    <cfRule type="cellIs" dxfId="2" priority="592" operator="lessThan">
      <formula>H14</formula>
    </cfRule>
  </conditionalFormatting>
  <conditionalFormatting sqref="AJ15">
    <cfRule type="cellIs" dxfId="1" priority="596" operator="equal">
      <formula>0</formula>
    </cfRule>
    <cfRule type="cellIs" dxfId="2" priority="597" operator="lessThan">
      <formula>H15</formula>
    </cfRule>
  </conditionalFormatting>
  <conditionalFormatting sqref="AJ19">
    <cfRule type="cellIs" dxfId="1" priority="601" operator="equal">
      <formula>0</formula>
    </cfRule>
    <cfRule type="cellIs" dxfId="2" priority="602" operator="lessThan">
      <formula>H19</formula>
    </cfRule>
  </conditionalFormatting>
  <conditionalFormatting sqref="AJ20">
    <cfRule type="cellIs" dxfId="1" priority="607" operator="equal">
      <formula>0</formula>
    </cfRule>
    <cfRule type="cellIs" dxfId="2" priority="608" operator="lessThan">
      <formula>H20</formula>
    </cfRule>
  </conditionalFormatting>
  <conditionalFormatting sqref="AJ21">
    <cfRule type="cellIs" dxfId="1" priority="612" operator="equal">
      <formula>0</formula>
    </cfRule>
    <cfRule type="cellIs" dxfId="2" priority="613" operator="lessThan">
      <formula>H21</formula>
    </cfRule>
  </conditionalFormatting>
  <conditionalFormatting sqref="AJ25">
    <cfRule type="cellIs" dxfId="1" priority="618" operator="equal">
      <formula>0</formula>
    </cfRule>
    <cfRule type="cellIs" dxfId="2" priority="619" operator="lessThan">
      <formula>H25</formula>
    </cfRule>
  </conditionalFormatting>
  <conditionalFormatting sqref="AJ26">
    <cfRule type="cellIs" dxfId="1" priority="624" operator="equal">
      <formula>0</formula>
    </cfRule>
    <cfRule type="cellIs" dxfId="2" priority="625" operator="lessThan">
      <formula>H26</formula>
    </cfRule>
  </conditionalFormatting>
  <conditionalFormatting sqref="AJ27">
    <cfRule type="cellIs" dxfId="1" priority="629" operator="equal">
      <formula>0</formula>
    </cfRule>
    <cfRule type="cellIs" dxfId="2" priority="630" operator="lessThan">
      <formula>H27</formula>
    </cfRule>
  </conditionalFormatting>
  <conditionalFormatting sqref="AJ28">
    <cfRule type="cellIs" dxfId="1" priority="635" operator="equal">
      <formula>0</formula>
    </cfRule>
    <cfRule type="cellIs" dxfId="2" priority="636" operator="lessThan">
      <formula>H28</formula>
    </cfRule>
  </conditionalFormatting>
  <conditionalFormatting sqref="AJ30">
    <cfRule type="cellIs" dxfId="1" priority="641" operator="equal">
      <formula>0</formula>
    </cfRule>
    <cfRule type="cellIs" dxfId="2" priority="642" operator="lessThan">
      <formula>H30</formula>
    </cfRule>
  </conditionalFormatting>
  <conditionalFormatting sqref="AJ31">
    <cfRule type="cellIs" dxfId="1" priority="646" operator="equal">
      <formula>0</formula>
    </cfRule>
    <cfRule type="cellIs" dxfId="2" priority="647" operator="lessThan">
      <formula>H31</formula>
    </cfRule>
  </conditionalFormatting>
  <conditionalFormatting sqref="AJ7">
    <cfRule type="cellIs" dxfId="1" priority="549" operator="equal">
      <formula>0</formula>
    </cfRule>
    <cfRule type="cellIs" dxfId="2" priority="550" operator="lessThan">
      <formula>H7</formula>
    </cfRule>
  </conditionalFormatting>
  <conditionalFormatting sqref="AJ8">
    <cfRule type="cellIs" dxfId="1" priority="555" operator="equal">
      <formula>0</formula>
    </cfRule>
    <cfRule type="cellIs" dxfId="2" priority="556" operator="lessThan">
      <formula>H8</formula>
    </cfRule>
  </conditionalFormatting>
  <conditionalFormatting sqref="AJ9">
    <cfRule type="cellIs" dxfId="1" priority="561" operator="equal">
      <formula>0</formula>
    </cfRule>
    <cfRule type="cellIs" dxfId="2" priority="562" operator="lessThan">
      <formula>H9</formula>
    </cfRule>
  </conditionalFormatting>
  <conditionalFormatting sqref="AK10">
    <cfRule type="expression" dxfId="3" priority="569">
      <formula>AND(AK10&gt;0,AK10&lt;10)</formula>
    </cfRule>
    <cfRule type="cellIs" dxfId="1" priority="570" operator="greaterThan">
      <formula>AJ10</formula>
    </cfRule>
  </conditionalFormatting>
  <conditionalFormatting sqref="AK11">
    <cfRule type="expression" dxfId="3" priority="575">
      <formula>AND(AK11&gt;0,AK11&lt;10)</formula>
    </cfRule>
    <cfRule type="cellIs" dxfId="1" priority="576" operator="greaterThan">
      <formula>AJ11</formula>
    </cfRule>
  </conditionalFormatting>
  <conditionalFormatting sqref="AK12">
    <cfRule type="expression" dxfId="3" priority="581">
      <formula>AND(AK12&gt;0,AK12&lt;10)</formula>
    </cfRule>
    <cfRule type="cellIs" dxfId="1" priority="582" operator="greaterThan">
      <formula>AJ12</formula>
    </cfRule>
  </conditionalFormatting>
  <conditionalFormatting sqref="AK13">
    <cfRule type="expression" dxfId="3" priority="587">
      <formula>AND(AK13&gt;0,AK13&lt;5)</formula>
    </cfRule>
    <cfRule type="cellIs" dxfId="1" priority="588" operator="greaterThan">
      <formula>AJ13</formula>
    </cfRule>
  </conditionalFormatting>
  <conditionalFormatting sqref="AK14">
    <cfRule type="cellIs" dxfId="1" priority="593" operator="greaterThan">
      <formula>AJ14</formula>
    </cfRule>
  </conditionalFormatting>
  <conditionalFormatting sqref="AK15">
    <cfRule type="cellIs" dxfId="1" priority="598" operator="greaterThan">
      <formula>AJ15</formula>
    </cfRule>
  </conditionalFormatting>
  <conditionalFormatting sqref="AK19">
    <cfRule type="expression" dxfId="3" priority="603">
      <formula>AND(AK19&gt;0,AK19&lt;15000)</formula>
    </cfRule>
    <cfRule type="cellIs" dxfId="1" priority="604" operator="greaterThan">
      <formula>AJ19</formula>
    </cfRule>
  </conditionalFormatting>
  <conditionalFormatting sqref="AK20">
    <cfRule type="cellIs" dxfId="1" priority="609" operator="greaterThan">
      <formula>AJ20</formula>
    </cfRule>
  </conditionalFormatting>
  <conditionalFormatting sqref="AK21">
    <cfRule type="expression" dxfId="3" priority="614">
      <formula>AND(AK21&gt;0,AK21&lt;15000)</formula>
    </cfRule>
    <cfRule type="cellIs" dxfId="1" priority="615" operator="greaterThan">
      <formula>AJ21</formula>
    </cfRule>
  </conditionalFormatting>
  <conditionalFormatting sqref="AK25">
    <cfRule type="expression" dxfId="3" priority="620">
      <formula>AND(AK25&gt;0,AK25&lt;45000)</formula>
    </cfRule>
    <cfRule type="cellIs" dxfId="1" priority="621" operator="greaterThan">
      <formula>AJ25</formula>
    </cfRule>
  </conditionalFormatting>
  <conditionalFormatting sqref="AK26">
    <cfRule type="cellIs" dxfId="1" priority="626" operator="greaterThan">
      <formula>AJ26</formula>
    </cfRule>
  </conditionalFormatting>
  <conditionalFormatting sqref="AK27">
    <cfRule type="expression" dxfId="3" priority="631">
      <formula>AND(AK27&gt;0,AK27&lt;5)</formula>
    </cfRule>
    <cfRule type="cellIs" dxfId="1" priority="632" operator="greaterThan">
      <formula>AJ27</formula>
    </cfRule>
  </conditionalFormatting>
  <conditionalFormatting sqref="AK28">
    <cfRule type="expression" dxfId="3" priority="637">
      <formula>AND(AK28&gt;0,AK28&lt;5)</formula>
    </cfRule>
    <cfRule type="cellIs" dxfId="1" priority="638" operator="greaterThan">
      <formula>AJ28</formula>
    </cfRule>
  </conditionalFormatting>
  <conditionalFormatting sqref="AK30">
    <cfRule type="cellIs" dxfId="1" priority="643" operator="greaterThan">
      <formula>AJ30</formula>
    </cfRule>
  </conditionalFormatting>
  <conditionalFormatting sqref="AK31">
    <cfRule type="cellIs" dxfId="1" priority="648" operator="greaterThan">
      <formula>AJ31</formula>
    </cfRule>
  </conditionalFormatting>
  <conditionalFormatting sqref="AK7">
    <cfRule type="expression" dxfId="3" priority="551">
      <formula>AND(AK7&gt;0,AK7&lt;10)</formula>
    </cfRule>
    <cfRule type="cellIs" dxfId="1" priority="552" operator="greaterThan">
      <formula>AJ7</formula>
    </cfRule>
  </conditionalFormatting>
  <conditionalFormatting sqref="AK8">
    <cfRule type="expression" dxfId="3" priority="557">
      <formula>AND(AK8&gt;0,AK8&lt;10)</formula>
    </cfRule>
    <cfRule type="cellIs" dxfId="1" priority="558" operator="greaterThan">
      <formula>AJ8</formula>
    </cfRule>
  </conditionalFormatting>
  <conditionalFormatting sqref="AK9">
    <cfRule type="expression" dxfId="3" priority="563">
      <formula>AND(AK9&gt;0,AK9&lt;10)</formula>
    </cfRule>
    <cfRule type="cellIs" dxfId="1" priority="564" operator="greaterThan">
      <formula>AJ9</formula>
    </cfRule>
  </conditionalFormatting>
  <conditionalFormatting sqref="AL10">
    <cfRule type="cellIs" dxfId="4" priority="572" operator="lessThanOrEqual">
      <formula>I10</formula>
    </cfRule>
  </conditionalFormatting>
  <conditionalFormatting sqref="AL11">
    <cfRule type="cellIs" dxfId="4" priority="578" operator="lessThanOrEqual">
      <formula>I11</formula>
    </cfRule>
  </conditionalFormatting>
  <conditionalFormatting sqref="AL12">
    <cfRule type="cellIs" dxfId="4" priority="584" operator="lessThanOrEqual">
      <formula>I12</formula>
    </cfRule>
  </conditionalFormatting>
  <conditionalFormatting sqref="AL13">
    <cfRule type="cellIs" dxfId="4" priority="590" operator="lessThanOrEqual">
      <formula>I13</formula>
    </cfRule>
  </conditionalFormatting>
  <conditionalFormatting sqref="AL14">
    <cfRule type="cellIs" dxfId="4" priority="595" operator="lessThanOrEqual">
      <formula>I14</formula>
    </cfRule>
  </conditionalFormatting>
  <conditionalFormatting sqref="AL15">
    <cfRule type="cellIs" dxfId="4" priority="600" operator="lessThanOrEqual">
      <formula>I15</formula>
    </cfRule>
  </conditionalFormatting>
  <conditionalFormatting sqref="AL19">
    <cfRule type="cellIs" dxfId="4" priority="606" operator="lessThanOrEqual">
      <formula>I19</formula>
    </cfRule>
  </conditionalFormatting>
  <conditionalFormatting sqref="AL20">
    <cfRule type="cellIs" dxfId="4" priority="611" operator="lessThanOrEqual">
      <formula>I20</formula>
    </cfRule>
  </conditionalFormatting>
  <conditionalFormatting sqref="AL21">
    <cfRule type="cellIs" dxfId="4" priority="617" operator="lessThanOrEqual">
      <formula>I21</formula>
    </cfRule>
  </conditionalFormatting>
  <conditionalFormatting sqref="AL25">
    <cfRule type="cellIs" dxfId="4" priority="623" operator="lessThanOrEqual">
      <formula>I25</formula>
    </cfRule>
  </conditionalFormatting>
  <conditionalFormatting sqref="AL26">
    <cfRule type="cellIs" dxfId="4" priority="628" operator="lessThanOrEqual">
      <formula>I26</formula>
    </cfRule>
  </conditionalFormatting>
  <conditionalFormatting sqref="AL27">
    <cfRule type="cellIs" dxfId="4" priority="634" operator="lessThanOrEqual">
      <formula>I27</formula>
    </cfRule>
  </conditionalFormatting>
  <conditionalFormatting sqref="AL28">
    <cfRule type="cellIs" dxfId="4" priority="640" operator="lessThanOrEqual">
      <formula>I28</formula>
    </cfRule>
  </conditionalFormatting>
  <conditionalFormatting sqref="AL30">
    <cfRule type="cellIs" dxfId="4" priority="645" operator="lessThanOrEqual">
      <formula>I30</formula>
    </cfRule>
  </conditionalFormatting>
  <conditionalFormatting sqref="AL31">
    <cfRule type="cellIs" dxfId="4" priority="650" operator="lessThanOrEqual">
      <formula>I31</formula>
    </cfRule>
  </conditionalFormatting>
  <conditionalFormatting sqref="AL7">
    <cfRule type="cellIs" dxfId="4" priority="554" operator="lessThanOrEqual">
      <formula>I7</formula>
    </cfRule>
  </conditionalFormatting>
  <conditionalFormatting sqref="AL8">
    <cfRule type="cellIs" dxfId="4" priority="560" operator="lessThanOrEqual">
      <formula>I8</formula>
    </cfRule>
  </conditionalFormatting>
  <conditionalFormatting sqref="AL9">
    <cfRule type="cellIs" dxfId="4" priority="566" operator="lessThanOrEqual">
      <formula>I9</formula>
    </cfRule>
  </conditionalFormatting>
  <conditionalFormatting sqref="AM10">
    <cfRule type="cellIs" dxfId="4" priority="571" operator="lessThanOrEqual">
      <formula>J10</formula>
    </cfRule>
  </conditionalFormatting>
  <conditionalFormatting sqref="AM11">
    <cfRule type="cellIs" dxfId="4" priority="577" operator="lessThanOrEqual">
      <formula>J11</formula>
    </cfRule>
  </conditionalFormatting>
  <conditionalFormatting sqref="AM12">
    <cfRule type="cellIs" dxfId="4" priority="583" operator="lessThanOrEqual">
      <formula>J12</formula>
    </cfRule>
  </conditionalFormatting>
  <conditionalFormatting sqref="AM13">
    <cfRule type="cellIs" dxfId="4" priority="589" operator="lessThanOrEqual">
      <formula>J13</formula>
    </cfRule>
  </conditionalFormatting>
  <conditionalFormatting sqref="AM14">
    <cfRule type="cellIs" dxfId="4" priority="594" operator="lessThanOrEqual">
      <formula>J14</formula>
    </cfRule>
  </conditionalFormatting>
  <conditionalFormatting sqref="AM15">
    <cfRule type="cellIs" dxfId="4" priority="599" operator="lessThanOrEqual">
      <formula>J15</formula>
    </cfRule>
  </conditionalFormatting>
  <conditionalFormatting sqref="AM19">
    <cfRule type="cellIs" dxfId="4" priority="605" operator="lessThanOrEqual">
      <formula>J19</formula>
    </cfRule>
  </conditionalFormatting>
  <conditionalFormatting sqref="AM20">
    <cfRule type="cellIs" dxfId="4" priority="610" operator="lessThanOrEqual">
      <formula>J20</formula>
    </cfRule>
  </conditionalFormatting>
  <conditionalFormatting sqref="AM21">
    <cfRule type="cellIs" dxfId="4" priority="616" operator="lessThanOrEqual">
      <formula>J21</formula>
    </cfRule>
  </conditionalFormatting>
  <conditionalFormatting sqref="AM25">
    <cfRule type="cellIs" dxfId="4" priority="622" operator="lessThanOrEqual">
      <formula>J25</formula>
    </cfRule>
  </conditionalFormatting>
  <conditionalFormatting sqref="AM26">
    <cfRule type="cellIs" dxfId="4" priority="627" operator="lessThanOrEqual">
      <formula>J26</formula>
    </cfRule>
  </conditionalFormatting>
  <conditionalFormatting sqref="AM27">
    <cfRule type="cellIs" dxfId="4" priority="633" operator="lessThanOrEqual">
      <formula>J27</formula>
    </cfRule>
  </conditionalFormatting>
  <conditionalFormatting sqref="AM28">
    <cfRule type="cellIs" dxfId="4" priority="639" operator="lessThanOrEqual">
      <formula>J28</formula>
    </cfRule>
  </conditionalFormatting>
  <conditionalFormatting sqref="AM30">
    <cfRule type="cellIs" dxfId="4" priority="644" operator="lessThanOrEqual">
      <formula>J30</formula>
    </cfRule>
  </conditionalFormatting>
  <conditionalFormatting sqref="AM31">
    <cfRule type="cellIs" dxfId="4" priority="649" operator="lessThanOrEqual">
      <formula>J31</formula>
    </cfRule>
  </conditionalFormatting>
  <conditionalFormatting sqref="AM7">
    <cfRule type="cellIs" dxfId="4" priority="553" operator="lessThanOrEqual">
      <formula>J7</formula>
    </cfRule>
  </conditionalFormatting>
  <conditionalFormatting sqref="AM8">
    <cfRule type="cellIs" dxfId="4" priority="559" operator="lessThanOrEqual">
      <formula>J8</formula>
    </cfRule>
  </conditionalFormatting>
  <conditionalFormatting sqref="AM9">
    <cfRule type="cellIs" dxfId="4" priority="565" operator="lessThanOrEqual">
      <formula>J9</formula>
    </cfRule>
  </conditionalFormatting>
  <conditionalFormatting sqref="AO12">
    <cfRule type="cellIs" dxfId="1" priority="651" operator="equal">
      <formula>0</formula>
    </cfRule>
    <cfRule type="cellIs" dxfId="2" priority="652" operator="lessThan">
      <formula>H12</formula>
    </cfRule>
  </conditionalFormatting>
  <conditionalFormatting sqref="AO19">
    <cfRule type="cellIs" dxfId="1" priority="657" operator="equal">
      <formula>0</formula>
    </cfRule>
    <cfRule type="cellIs" dxfId="2" priority="658" operator="lessThan">
      <formula>H19</formula>
    </cfRule>
  </conditionalFormatting>
  <conditionalFormatting sqref="AO20">
    <cfRule type="cellIs" dxfId="1" priority="663" operator="equal">
      <formula>0</formula>
    </cfRule>
    <cfRule type="cellIs" dxfId="2" priority="664" operator="lessThan">
      <formula>H20</formula>
    </cfRule>
  </conditionalFormatting>
  <conditionalFormatting sqref="AO22">
    <cfRule type="cellIs" dxfId="1" priority="669" operator="equal">
      <formula>0</formula>
    </cfRule>
    <cfRule type="cellIs" dxfId="2" priority="670" operator="lessThan">
      <formula>H22</formula>
    </cfRule>
  </conditionalFormatting>
  <conditionalFormatting sqref="AO24">
    <cfRule type="cellIs" dxfId="1" priority="675" operator="equal">
      <formula>0</formula>
    </cfRule>
    <cfRule type="cellIs" dxfId="2" priority="676" operator="lessThan">
      <formula>H24</formula>
    </cfRule>
  </conditionalFormatting>
  <conditionalFormatting sqref="AO25">
    <cfRule type="cellIs" dxfId="1" priority="681" operator="equal">
      <formula>0</formula>
    </cfRule>
    <cfRule type="cellIs" dxfId="2" priority="682" operator="lessThan">
      <formula>H25</formula>
    </cfRule>
  </conditionalFormatting>
  <conditionalFormatting sqref="AO27">
    <cfRule type="cellIs" dxfId="1" priority="687" operator="equal">
      <formula>0</formula>
    </cfRule>
    <cfRule type="cellIs" dxfId="2" priority="688" operator="lessThan">
      <formula>H27</formula>
    </cfRule>
  </conditionalFormatting>
  <conditionalFormatting sqref="AO28">
    <cfRule type="cellIs" dxfId="1" priority="693" operator="equal">
      <formula>0</formula>
    </cfRule>
    <cfRule type="cellIs" dxfId="2" priority="694" operator="lessThan">
      <formula>H28</formula>
    </cfRule>
  </conditionalFormatting>
  <conditionalFormatting sqref="AO31">
    <cfRule type="cellIs" dxfId="1" priority="699" operator="equal">
      <formula>0</formula>
    </cfRule>
    <cfRule type="cellIs" dxfId="2" priority="700" operator="lessThan">
      <formula>H31</formula>
    </cfRule>
  </conditionalFormatting>
  <conditionalFormatting sqref="AP12">
    <cfRule type="expression" dxfId="3" priority="653">
      <formula>AND(AP12&gt;0,AP12&lt;15000)</formula>
    </cfRule>
    <cfRule type="cellIs" dxfId="1" priority="654" operator="greaterThan">
      <formula>AO12</formula>
    </cfRule>
  </conditionalFormatting>
  <conditionalFormatting sqref="AP19">
    <cfRule type="expression" dxfId="3" priority="659">
      <formula>AND(AP19&gt;0,AP19&lt;15000)</formula>
    </cfRule>
    <cfRule type="cellIs" dxfId="1" priority="660" operator="greaterThan">
      <formula>AO19</formula>
    </cfRule>
  </conditionalFormatting>
  <conditionalFormatting sqref="AP20">
    <cfRule type="expression" dxfId="3" priority="665">
      <formula>AND(AP20&gt;0,AP20&lt;15000)</formula>
    </cfRule>
    <cfRule type="cellIs" dxfId="1" priority="666" operator="greaterThan">
      <formula>AO20</formula>
    </cfRule>
  </conditionalFormatting>
  <conditionalFormatting sqref="AP22">
    <cfRule type="expression" dxfId="3" priority="671">
      <formula>AND(AP22&gt;0,AP22&lt;15000)</formula>
    </cfRule>
    <cfRule type="cellIs" dxfId="1" priority="672" operator="greaterThan">
      <formula>AO22</formula>
    </cfRule>
  </conditionalFormatting>
  <conditionalFormatting sqref="AP24">
    <cfRule type="expression" dxfId="3" priority="677">
      <formula>AND(AP24&gt;0,AP24&lt;15000)</formula>
    </cfRule>
    <cfRule type="cellIs" dxfId="1" priority="678" operator="greaterThan">
      <formula>AO24</formula>
    </cfRule>
  </conditionalFormatting>
  <conditionalFormatting sqref="AP25">
    <cfRule type="expression" dxfId="3" priority="683">
      <formula>AND(AP25&gt;0,AP25&lt;15000)</formula>
    </cfRule>
    <cfRule type="cellIs" dxfId="1" priority="684" operator="greaterThan">
      <formula>AO25</formula>
    </cfRule>
  </conditionalFormatting>
  <conditionalFormatting sqref="AP27">
    <cfRule type="expression" dxfId="3" priority="689">
      <formula>AND(AP27&gt;0,AP27&lt;3000)</formula>
    </cfRule>
    <cfRule type="cellIs" dxfId="1" priority="690" operator="greaterThan">
      <formula>AO27</formula>
    </cfRule>
  </conditionalFormatting>
  <conditionalFormatting sqref="AP28">
    <cfRule type="expression" dxfId="3" priority="695">
      <formula>AND(AP28&gt;0,AP28&lt;3000)</formula>
    </cfRule>
    <cfRule type="cellIs" dxfId="1" priority="696" operator="greaterThan">
      <formula>AO28</formula>
    </cfRule>
  </conditionalFormatting>
  <conditionalFormatting sqref="AP31">
    <cfRule type="expression" dxfId="3" priority="701">
      <formula>AND(AP31&gt;0,AP31&lt;50)</formula>
    </cfRule>
    <cfRule type="cellIs" dxfId="1" priority="702" operator="greaterThan">
      <formula>AO31</formula>
    </cfRule>
  </conditionalFormatting>
  <conditionalFormatting sqref="AQ12">
    <cfRule type="cellIs" dxfId="4" priority="656" operator="lessThanOrEqual">
      <formula>I12</formula>
    </cfRule>
  </conditionalFormatting>
  <conditionalFormatting sqref="AQ19">
    <cfRule type="cellIs" dxfId="4" priority="662" operator="lessThanOrEqual">
      <formula>I19</formula>
    </cfRule>
  </conditionalFormatting>
  <conditionalFormatting sqref="AQ20">
    <cfRule type="cellIs" dxfId="4" priority="668" operator="lessThanOrEqual">
      <formula>I20</formula>
    </cfRule>
  </conditionalFormatting>
  <conditionalFormatting sqref="AQ22">
    <cfRule type="cellIs" dxfId="4" priority="674" operator="lessThanOrEqual">
      <formula>I22</formula>
    </cfRule>
  </conditionalFormatting>
  <conditionalFormatting sqref="AQ24">
    <cfRule type="cellIs" dxfId="4" priority="680" operator="lessThanOrEqual">
      <formula>I24</formula>
    </cfRule>
  </conditionalFormatting>
  <conditionalFormatting sqref="AQ25">
    <cfRule type="cellIs" dxfId="4" priority="686" operator="lessThanOrEqual">
      <formula>I25</formula>
    </cfRule>
  </conditionalFormatting>
  <conditionalFormatting sqref="AQ27">
    <cfRule type="cellIs" dxfId="4" priority="692" operator="lessThanOrEqual">
      <formula>I27</formula>
    </cfRule>
  </conditionalFormatting>
  <conditionalFormatting sqref="AQ28">
    <cfRule type="cellIs" dxfId="4" priority="698" operator="lessThanOrEqual">
      <formula>I28</formula>
    </cfRule>
  </conditionalFormatting>
  <conditionalFormatting sqref="AQ31">
    <cfRule type="cellIs" dxfId="4" priority="704" operator="lessThanOrEqual">
      <formula>I31</formula>
    </cfRule>
  </conditionalFormatting>
  <conditionalFormatting sqref="AR12">
    <cfRule type="cellIs" dxfId="4" priority="655" operator="lessThanOrEqual">
      <formula>J12</formula>
    </cfRule>
  </conditionalFormatting>
  <conditionalFormatting sqref="AR19">
    <cfRule type="cellIs" dxfId="4" priority="661" operator="lessThanOrEqual">
      <formula>J19</formula>
    </cfRule>
  </conditionalFormatting>
  <conditionalFormatting sqref="AR20">
    <cfRule type="cellIs" dxfId="4" priority="667" operator="lessThanOrEqual">
      <formula>J20</formula>
    </cfRule>
  </conditionalFormatting>
  <conditionalFormatting sqref="AR22">
    <cfRule type="cellIs" dxfId="4" priority="673" operator="lessThanOrEqual">
      <formula>J22</formula>
    </cfRule>
  </conditionalFormatting>
  <conditionalFormatting sqref="AR24">
    <cfRule type="cellIs" dxfId="4" priority="679" operator="lessThanOrEqual">
      <formula>J24</formula>
    </cfRule>
  </conditionalFormatting>
  <conditionalFormatting sqref="AR25">
    <cfRule type="cellIs" dxfId="4" priority="685" operator="lessThanOrEqual">
      <formula>J25</formula>
    </cfRule>
  </conditionalFormatting>
  <conditionalFormatting sqref="AR27">
    <cfRule type="cellIs" dxfId="4" priority="691" operator="lessThanOrEqual">
      <formula>J27</formula>
    </cfRule>
  </conditionalFormatting>
  <conditionalFormatting sqref="AR28">
    <cfRule type="cellIs" dxfId="4" priority="697" operator="lessThanOrEqual">
      <formula>J28</formula>
    </cfRule>
  </conditionalFormatting>
  <conditionalFormatting sqref="AR31">
    <cfRule type="cellIs" dxfId="4" priority="703" operator="lessThanOrEqual">
      <formula>J31</formula>
    </cfRule>
  </conditionalFormatting>
  <conditionalFormatting sqref="AT14">
    <cfRule type="cellIs" dxfId="1" priority="705" operator="equal">
      <formula>0</formula>
    </cfRule>
    <cfRule type="cellIs" dxfId="2" priority="706" operator="lessThan">
      <formula>H14</formula>
    </cfRule>
  </conditionalFormatting>
  <conditionalFormatting sqref="AT15">
    <cfRule type="cellIs" dxfId="1" priority="711" operator="equal">
      <formula>0</formula>
    </cfRule>
    <cfRule type="cellIs" dxfId="2" priority="712" operator="lessThan">
      <formula>H15</formula>
    </cfRule>
  </conditionalFormatting>
  <conditionalFormatting sqref="AT26">
    <cfRule type="cellIs" dxfId="1" priority="717" operator="equal">
      <formula>0</formula>
    </cfRule>
    <cfRule type="cellIs" dxfId="2" priority="718" operator="lessThan">
      <formula>H26</formula>
    </cfRule>
  </conditionalFormatting>
  <conditionalFormatting sqref="AT31">
    <cfRule type="cellIs" dxfId="1" priority="723" operator="equal">
      <formula>0</formula>
    </cfRule>
    <cfRule type="cellIs" dxfId="2" priority="724" operator="lessThan">
      <formula>H31</formula>
    </cfRule>
  </conditionalFormatting>
  <conditionalFormatting sqref="AU14">
    <cfRule type="expression" dxfId="3" priority="707">
      <formula>AND(AU14&gt;0,AU14&lt;5)</formula>
    </cfRule>
    <cfRule type="cellIs" dxfId="1" priority="708" operator="greaterThan">
      <formula>AT14</formula>
    </cfRule>
  </conditionalFormatting>
  <conditionalFormatting sqref="AU15">
    <cfRule type="expression" dxfId="3" priority="713">
      <formula>AND(AU15&gt;0,AU15&lt;5)</formula>
    </cfRule>
    <cfRule type="cellIs" dxfId="1" priority="714" operator="greaterThan">
      <formula>AT15</formula>
    </cfRule>
  </conditionalFormatting>
  <conditionalFormatting sqref="AU26">
    <cfRule type="expression" dxfId="3" priority="719">
      <formula>AND(AU26&gt;0,AU26&lt;5)</formula>
    </cfRule>
    <cfRule type="cellIs" dxfId="1" priority="720" operator="greaterThan">
      <formula>AT26</formula>
    </cfRule>
  </conditionalFormatting>
  <conditionalFormatting sqref="AU31">
    <cfRule type="expression" dxfId="3" priority="725">
      <formula>AND(AU31&gt;0,AU31&lt;5)</formula>
    </cfRule>
    <cfRule type="cellIs" dxfId="1" priority="726" operator="greaterThan">
      <formula>AT31</formula>
    </cfRule>
  </conditionalFormatting>
  <conditionalFormatting sqref="AV14">
    <cfRule type="cellIs" dxfId="4" priority="710" operator="lessThanOrEqual">
      <formula>I14</formula>
    </cfRule>
  </conditionalFormatting>
  <conditionalFormatting sqref="AV15">
    <cfRule type="cellIs" dxfId="4" priority="716" operator="lessThanOrEqual">
      <formula>I15</formula>
    </cfRule>
  </conditionalFormatting>
  <conditionalFormatting sqref="AV26">
    <cfRule type="cellIs" dxfId="4" priority="722" operator="lessThanOrEqual">
      <formula>I26</formula>
    </cfRule>
  </conditionalFormatting>
  <conditionalFormatting sqref="AV31">
    <cfRule type="cellIs" dxfId="4" priority="728" operator="lessThanOrEqual">
      <formula>I31</formula>
    </cfRule>
  </conditionalFormatting>
  <conditionalFormatting sqref="AW14">
    <cfRule type="cellIs" dxfId="4" priority="709" operator="lessThanOrEqual">
      <formula>J14</formula>
    </cfRule>
  </conditionalFormatting>
  <conditionalFormatting sqref="AW15">
    <cfRule type="cellIs" dxfId="4" priority="715" operator="lessThanOrEqual">
      <formula>J15</formula>
    </cfRule>
  </conditionalFormatting>
  <conditionalFormatting sqref="AW26">
    <cfRule type="cellIs" dxfId="4" priority="721" operator="lessThanOrEqual">
      <formula>J26</formula>
    </cfRule>
  </conditionalFormatting>
  <conditionalFormatting sqref="AW31">
    <cfRule type="cellIs" dxfId="4" priority="727" operator="lessThanOrEqual">
      <formula>J31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32" operator="equal">
      <formula>0</formula>
    </cfRule>
    <cfRule type="cellIs" dxfId="2" priority="133" operator="lessThan">
      <formula>H10</formula>
    </cfRule>
  </conditionalFormatting>
  <conditionalFormatting sqref="P11">
    <cfRule type="cellIs" dxfId="1" priority="137" operator="equal">
      <formula>0</formula>
    </cfRule>
    <cfRule type="cellIs" dxfId="2" priority="138" operator="lessThan">
      <formula>H11</formula>
    </cfRule>
  </conditionalFormatting>
  <conditionalFormatting sqref="P12">
    <cfRule type="cellIs" dxfId="1" priority="142" operator="equal">
      <formula>0</formula>
    </cfRule>
    <cfRule type="cellIs" dxfId="2" priority="143" operator="lessThan">
      <formula>H12</formula>
    </cfRule>
  </conditionalFormatting>
  <conditionalFormatting sqref="P13">
    <cfRule type="cellIs" dxfId="1" priority="147" operator="equal">
      <formula>0</formula>
    </cfRule>
    <cfRule type="cellIs" dxfId="2" priority="148" operator="lessThan">
      <formula>H13</formula>
    </cfRule>
  </conditionalFormatting>
  <conditionalFormatting sqref="P14">
    <cfRule type="cellIs" dxfId="1" priority="152" operator="equal">
      <formula>0</formula>
    </cfRule>
    <cfRule type="cellIs" dxfId="2" priority="153" operator="lessThan">
      <formula>H14</formula>
    </cfRule>
  </conditionalFormatting>
  <conditionalFormatting sqref="P15">
    <cfRule type="cellIs" dxfId="1" priority="157" operator="equal">
      <formula>0</formula>
    </cfRule>
    <cfRule type="cellIs" dxfId="2" priority="158" operator="lessThan">
      <formula>H15</formula>
    </cfRule>
  </conditionalFormatting>
  <conditionalFormatting sqref="P16">
    <cfRule type="cellIs" dxfId="1" priority="162" operator="equal">
      <formula>0</formula>
    </cfRule>
    <cfRule type="cellIs" dxfId="2" priority="163" operator="lessThan">
      <formula>H16</formula>
    </cfRule>
  </conditionalFormatting>
  <conditionalFormatting sqref="P17">
    <cfRule type="cellIs" dxfId="1" priority="167" operator="equal">
      <formula>0</formula>
    </cfRule>
    <cfRule type="cellIs" dxfId="2" priority="168" operator="lessThan">
      <formula>H17</formula>
    </cfRule>
  </conditionalFormatting>
  <conditionalFormatting sqref="P19">
    <cfRule type="cellIs" dxfId="1" priority="172" operator="equal">
      <formula>0</formula>
    </cfRule>
    <cfRule type="cellIs" dxfId="2" priority="173" operator="lessThan">
      <formula>H19</formula>
    </cfRule>
  </conditionalFormatting>
  <conditionalFormatting sqref="P20">
    <cfRule type="cellIs" dxfId="1" priority="177" operator="equal">
      <formula>0</formula>
    </cfRule>
    <cfRule type="cellIs" dxfId="2" priority="178" operator="lessThan">
      <formula>H20</formula>
    </cfRule>
  </conditionalFormatting>
  <conditionalFormatting sqref="P21">
    <cfRule type="cellIs" dxfId="1" priority="182" operator="equal">
      <formula>0</formula>
    </cfRule>
    <cfRule type="cellIs" dxfId="2" priority="183" operator="lessThan">
      <formula>H21</formula>
    </cfRule>
  </conditionalFormatting>
  <conditionalFormatting sqref="P22">
    <cfRule type="cellIs" dxfId="1" priority="187" operator="equal">
      <formula>0</formula>
    </cfRule>
    <cfRule type="cellIs" dxfId="2" priority="188" operator="lessThan">
      <formula>H22</formula>
    </cfRule>
  </conditionalFormatting>
  <conditionalFormatting sqref="P23">
    <cfRule type="cellIs" dxfId="1" priority="192" operator="equal">
      <formula>0</formula>
    </cfRule>
    <cfRule type="cellIs" dxfId="2" priority="193" operator="lessThan">
      <formula>H23</formula>
    </cfRule>
  </conditionalFormatting>
  <conditionalFormatting sqref="P24">
    <cfRule type="cellIs" dxfId="1" priority="197" operator="equal">
      <formula>0</formula>
    </cfRule>
    <cfRule type="cellIs" dxfId="2" priority="198" operator="lessThan">
      <formula>H24</formula>
    </cfRule>
  </conditionalFormatting>
  <conditionalFormatting sqref="P25">
    <cfRule type="cellIs" dxfId="1" priority="202" operator="equal">
      <formula>0</formula>
    </cfRule>
    <cfRule type="cellIs" dxfId="2" priority="203" operator="lessThan">
      <formula>H25</formula>
    </cfRule>
  </conditionalFormatting>
  <conditionalFormatting sqref="P26">
    <cfRule type="cellIs" dxfId="1" priority="207" operator="equal">
      <formula>0</formula>
    </cfRule>
    <cfRule type="cellIs" dxfId="2" priority="208" operator="lessThan">
      <formula>H26</formula>
    </cfRule>
  </conditionalFormatting>
  <conditionalFormatting sqref="P27">
    <cfRule type="cellIs" dxfId="1" priority="212" operator="equal">
      <formula>0</formula>
    </cfRule>
    <cfRule type="cellIs" dxfId="2" priority="213" operator="lessThan">
      <formula>H27</formula>
    </cfRule>
  </conditionalFormatting>
  <conditionalFormatting sqref="P28">
    <cfRule type="cellIs" dxfId="1" priority="217" operator="equal">
      <formula>0</formula>
    </cfRule>
    <cfRule type="cellIs" dxfId="2" priority="218" operator="lessThan">
      <formula>H28</formula>
    </cfRule>
  </conditionalFormatting>
  <conditionalFormatting sqref="P29">
    <cfRule type="cellIs" dxfId="1" priority="222" operator="equal">
      <formula>0</formula>
    </cfRule>
    <cfRule type="cellIs" dxfId="2" priority="223" operator="lessThan">
      <formula>H29</formula>
    </cfRule>
  </conditionalFormatting>
  <conditionalFormatting sqref="P30">
    <cfRule type="cellIs" dxfId="1" priority="228" operator="equal">
      <formula>0</formula>
    </cfRule>
    <cfRule type="cellIs" dxfId="2" priority="229" operator="lessThan">
      <formula>H30</formula>
    </cfRule>
  </conditionalFormatting>
  <conditionalFormatting sqref="P31">
    <cfRule type="cellIs" dxfId="1" priority="233" operator="equal">
      <formula>0</formula>
    </cfRule>
    <cfRule type="cellIs" dxfId="2" priority="234" operator="lessThan">
      <formula>H31</formula>
    </cfRule>
  </conditionalFormatting>
  <conditionalFormatting sqref="P33">
    <cfRule type="cellIs" dxfId="1" priority="238" operator="equal">
      <formula>0</formula>
    </cfRule>
    <cfRule type="cellIs" dxfId="2" priority="239" operator="lessThan">
      <formula>H33</formula>
    </cfRule>
  </conditionalFormatting>
  <conditionalFormatting sqref="P34">
    <cfRule type="cellIs" dxfId="1" priority="243" operator="equal">
      <formula>0</formula>
    </cfRule>
    <cfRule type="cellIs" dxfId="2" priority="244" operator="lessThan">
      <formula>H34</formula>
    </cfRule>
  </conditionalFormatting>
  <conditionalFormatting sqref="P35">
    <cfRule type="cellIs" dxfId="1" priority="248" operator="equal">
      <formula>0</formula>
    </cfRule>
    <cfRule type="cellIs" dxfId="2" priority="249" operator="lessThan">
      <formula>H35</formula>
    </cfRule>
  </conditionalFormatting>
  <conditionalFormatting sqref="P7">
    <cfRule type="cellIs" dxfId="1" priority="117" operator="equal">
      <formula>0</formula>
    </cfRule>
    <cfRule type="cellIs" dxfId="2" priority="118" operator="lessThan">
      <formula>H7</formula>
    </cfRule>
  </conditionalFormatting>
  <conditionalFormatting sqref="P8">
    <cfRule type="cellIs" dxfId="1" priority="122" operator="equal">
      <formula>0</formula>
    </cfRule>
    <cfRule type="cellIs" dxfId="2" priority="123" operator="lessThan">
      <formula>H8</formula>
    </cfRule>
  </conditionalFormatting>
  <conditionalFormatting sqref="P9">
    <cfRule type="cellIs" dxfId="1" priority="127" operator="equal">
      <formula>0</formula>
    </cfRule>
    <cfRule type="cellIs" dxfId="2" priority="128" operator="lessThan">
      <formula>H9</formula>
    </cfRule>
  </conditionalFormatting>
  <conditionalFormatting sqref="Q10">
    <cfRule type="cellIs" dxfId="1" priority="134" operator="greaterThan">
      <formula>P10</formula>
    </cfRule>
  </conditionalFormatting>
  <conditionalFormatting sqref="Q11">
    <cfRule type="cellIs" dxfId="1" priority="139" operator="greaterThan">
      <formula>P11</formula>
    </cfRule>
  </conditionalFormatting>
  <conditionalFormatting sqref="Q12">
    <cfRule type="cellIs" dxfId="1" priority="144" operator="greaterThan">
      <formula>P12</formula>
    </cfRule>
  </conditionalFormatting>
  <conditionalFormatting sqref="Q13">
    <cfRule type="cellIs" dxfId="1" priority="149" operator="greaterThan">
      <formula>P13</formula>
    </cfRule>
  </conditionalFormatting>
  <conditionalFormatting sqref="Q14">
    <cfRule type="cellIs" dxfId="1" priority="154" operator="greaterThan">
      <formula>P14</formula>
    </cfRule>
  </conditionalFormatting>
  <conditionalFormatting sqref="Q15">
    <cfRule type="cellIs" dxfId="1" priority="159" operator="greaterThan">
      <formula>P15</formula>
    </cfRule>
  </conditionalFormatting>
  <conditionalFormatting sqref="Q16">
    <cfRule type="cellIs" dxfId="1" priority="164" operator="greaterThan">
      <formula>P16</formula>
    </cfRule>
  </conditionalFormatting>
  <conditionalFormatting sqref="Q17">
    <cfRule type="cellIs" dxfId="1" priority="169" operator="greaterThan">
      <formula>P17</formula>
    </cfRule>
  </conditionalFormatting>
  <conditionalFormatting sqref="Q19">
    <cfRule type="cellIs" dxfId="1" priority="174" operator="greaterThan">
      <formula>P19</formula>
    </cfRule>
  </conditionalFormatting>
  <conditionalFormatting sqref="Q20">
    <cfRule type="cellIs" dxfId="1" priority="179" operator="greaterThan">
      <formula>P20</formula>
    </cfRule>
  </conditionalFormatting>
  <conditionalFormatting sqref="Q21">
    <cfRule type="cellIs" dxfId="1" priority="184" operator="greaterThan">
      <formula>P21</formula>
    </cfRule>
  </conditionalFormatting>
  <conditionalFormatting sqref="Q22">
    <cfRule type="cellIs" dxfId="1" priority="189" operator="greaterThan">
      <formula>P22</formula>
    </cfRule>
  </conditionalFormatting>
  <conditionalFormatting sqref="Q23">
    <cfRule type="cellIs" dxfId="1" priority="194" operator="greaterThan">
      <formula>P23</formula>
    </cfRule>
  </conditionalFormatting>
  <conditionalFormatting sqref="Q24">
    <cfRule type="cellIs" dxfId="1" priority="199" operator="greaterThan">
      <formula>P24</formula>
    </cfRule>
  </conditionalFormatting>
  <conditionalFormatting sqref="Q25">
    <cfRule type="cellIs" dxfId="1" priority="204" operator="greaterThan">
      <formula>P25</formula>
    </cfRule>
  </conditionalFormatting>
  <conditionalFormatting sqref="Q26">
    <cfRule type="cellIs" dxfId="1" priority="209" operator="greaterThan">
      <formula>P26</formula>
    </cfRule>
  </conditionalFormatting>
  <conditionalFormatting sqref="Q27">
    <cfRule type="cellIs" dxfId="1" priority="214" operator="greaterThan">
      <formula>P27</formula>
    </cfRule>
  </conditionalFormatting>
  <conditionalFormatting sqref="Q28">
    <cfRule type="cellIs" dxfId="1" priority="219" operator="greaterThan">
      <formula>P28</formula>
    </cfRule>
  </conditionalFormatting>
  <conditionalFormatting sqref="Q29">
    <cfRule type="expression" dxfId="3" priority="224">
      <formula>AND(Q29&gt;0,Q29&lt;2000)</formula>
    </cfRule>
    <cfRule type="cellIs" dxfId="1" priority="225" operator="greaterThan">
      <formula>P29</formula>
    </cfRule>
  </conditionalFormatting>
  <conditionalFormatting sqref="Q30">
    <cfRule type="cellIs" dxfId="1" priority="230" operator="greaterThan">
      <formula>P30</formula>
    </cfRule>
  </conditionalFormatting>
  <conditionalFormatting sqref="Q31">
    <cfRule type="cellIs" dxfId="1" priority="235" operator="greaterThan">
      <formula>P31</formula>
    </cfRule>
  </conditionalFormatting>
  <conditionalFormatting sqref="Q33">
    <cfRule type="cellIs" dxfId="1" priority="240" operator="greaterThan">
      <formula>P33</formula>
    </cfRule>
  </conditionalFormatting>
  <conditionalFormatting sqref="Q34">
    <cfRule type="cellIs" dxfId="1" priority="245" operator="greaterThan">
      <formula>P34</formula>
    </cfRule>
  </conditionalFormatting>
  <conditionalFormatting sqref="Q35">
    <cfRule type="cellIs" dxfId="1" priority="250" operator="greaterThan">
      <formula>P35</formula>
    </cfRule>
  </conditionalFormatting>
  <conditionalFormatting sqref="Q7">
    <cfRule type="cellIs" dxfId="1" priority="119" operator="greaterThan">
      <formula>P7</formula>
    </cfRule>
  </conditionalFormatting>
  <conditionalFormatting sqref="Q8">
    <cfRule type="cellIs" dxfId="1" priority="124" operator="greaterThan">
      <formula>P8</formula>
    </cfRule>
  </conditionalFormatting>
  <conditionalFormatting sqref="Q9">
    <cfRule type="cellIs" dxfId="1" priority="129" operator="greaterThan">
      <formula>P9</formula>
    </cfRule>
  </conditionalFormatting>
  <conditionalFormatting sqref="R10">
    <cfRule type="cellIs" dxfId="4" priority="136" operator="lessThanOrEqual">
      <formula>I10</formula>
    </cfRule>
  </conditionalFormatting>
  <conditionalFormatting sqref="R11">
    <cfRule type="cellIs" dxfId="4" priority="141" operator="lessThanOrEqual">
      <formula>I11</formula>
    </cfRule>
  </conditionalFormatting>
  <conditionalFormatting sqref="R12">
    <cfRule type="cellIs" dxfId="4" priority="146" operator="lessThanOrEqual">
      <formula>I12</formula>
    </cfRule>
  </conditionalFormatting>
  <conditionalFormatting sqref="R13">
    <cfRule type="cellIs" dxfId="4" priority="151" operator="lessThanOrEqual">
      <formula>I13</formula>
    </cfRule>
  </conditionalFormatting>
  <conditionalFormatting sqref="R14">
    <cfRule type="cellIs" dxfId="4" priority="156" operator="lessThanOrEqual">
      <formula>I14</formula>
    </cfRule>
  </conditionalFormatting>
  <conditionalFormatting sqref="R15">
    <cfRule type="cellIs" dxfId="4" priority="161" operator="lessThanOrEqual">
      <formula>I15</formula>
    </cfRule>
  </conditionalFormatting>
  <conditionalFormatting sqref="R16">
    <cfRule type="cellIs" dxfId="4" priority="166" operator="lessThanOrEqual">
      <formula>I16</formula>
    </cfRule>
  </conditionalFormatting>
  <conditionalFormatting sqref="R17">
    <cfRule type="cellIs" dxfId="4" priority="171" operator="lessThanOrEqual">
      <formula>I17</formula>
    </cfRule>
  </conditionalFormatting>
  <conditionalFormatting sqref="R19">
    <cfRule type="cellIs" dxfId="4" priority="176" operator="lessThanOrEqual">
      <formula>I19</formula>
    </cfRule>
  </conditionalFormatting>
  <conditionalFormatting sqref="R20">
    <cfRule type="cellIs" dxfId="4" priority="181" operator="lessThanOrEqual">
      <formula>I20</formula>
    </cfRule>
  </conditionalFormatting>
  <conditionalFormatting sqref="R21">
    <cfRule type="cellIs" dxfId="4" priority="186" operator="lessThanOrEqual">
      <formula>I21</formula>
    </cfRule>
  </conditionalFormatting>
  <conditionalFormatting sqref="R22">
    <cfRule type="cellIs" dxfId="4" priority="191" operator="lessThanOrEqual">
      <formula>I22</formula>
    </cfRule>
  </conditionalFormatting>
  <conditionalFormatting sqref="R23">
    <cfRule type="cellIs" dxfId="4" priority="196" operator="lessThanOrEqual">
      <formula>I23</formula>
    </cfRule>
  </conditionalFormatting>
  <conditionalFormatting sqref="R24">
    <cfRule type="cellIs" dxfId="4" priority="201" operator="lessThanOrEqual">
      <formula>I24</formula>
    </cfRule>
  </conditionalFormatting>
  <conditionalFormatting sqref="R25">
    <cfRule type="cellIs" dxfId="4" priority="206" operator="lessThanOrEqual">
      <formula>I25</formula>
    </cfRule>
  </conditionalFormatting>
  <conditionalFormatting sqref="R26">
    <cfRule type="cellIs" dxfId="4" priority="211" operator="lessThanOrEqual">
      <formula>I26</formula>
    </cfRule>
  </conditionalFormatting>
  <conditionalFormatting sqref="R27">
    <cfRule type="cellIs" dxfId="4" priority="216" operator="lessThanOrEqual">
      <formula>I27</formula>
    </cfRule>
  </conditionalFormatting>
  <conditionalFormatting sqref="R28">
    <cfRule type="cellIs" dxfId="4" priority="221" operator="lessThanOrEqual">
      <formula>I28</formula>
    </cfRule>
  </conditionalFormatting>
  <conditionalFormatting sqref="R29">
    <cfRule type="cellIs" dxfId="4" priority="227" operator="lessThanOrEqual">
      <formula>I29</formula>
    </cfRule>
  </conditionalFormatting>
  <conditionalFormatting sqref="R30">
    <cfRule type="cellIs" dxfId="4" priority="232" operator="lessThanOrEqual">
      <formula>I30</formula>
    </cfRule>
  </conditionalFormatting>
  <conditionalFormatting sqref="R31">
    <cfRule type="cellIs" dxfId="4" priority="237" operator="lessThanOrEqual">
      <formula>I31</formula>
    </cfRule>
  </conditionalFormatting>
  <conditionalFormatting sqref="R33">
    <cfRule type="cellIs" dxfId="4" priority="242" operator="lessThanOrEqual">
      <formula>I33</formula>
    </cfRule>
  </conditionalFormatting>
  <conditionalFormatting sqref="R34">
    <cfRule type="cellIs" dxfId="4" priority="247" operator="lessThanOrEqual">
      <formula>I34</formula>
    </cfRule>
  </conditionalFormatting>
  <conditionalFormatting sqref="R35">
    <cfRule type="cellIs" dxfId="4" priority="252" operator="lessThanOrEqual">
      <formula>I35</formula>
    </cfRule>
  </conditionalFormatting>
  <conditionalFormatting sqref="R7">
    <cfRule type="cellIs" dxfId="4" priority="121" operator="lessThanOrEqual">
      <formula>I7</formula>
    </cfRule>
  </conditionalFormatting>
  <conditionalFormatting sqref="R8">
    <cfRule type="cellIs" dxfId="4" priority="126" operator="lessThanOrEqual">
      <formula>I8</formula>
    </cfRule>
  </conditionalFormatting>
  <conditionalFormatting sqref="R9">
    <cfRule type="cellIs" dxfId="4" priority="131" operator="lessThanOrEqual">
      <formula>I9</formula>
    </cfRule>
  </conditionalFormatting>
  <conditionalFormatting sqref="S10">
    <cfRule type="cellIs" dxfId="4" priority="135" operator="lessThanOrEqual">
      <formula>J10</formula>
    </cfRule>
  </conditionalFormatting>
  <conditionalFormatting sqref="S11">
    <cfRule type="cellIs" dxfId="4" priority="140" operator="lessThanOrEqual">
      <formula>J11</formula>
    </cfRule>
  </conditionalFormatting>
  <conditionalFormatting sqref="S12">
    <cfRule type="cellIs" dxfId="4" priority="145" operator="lessThanOrEqual">
      <formula>J12</formula>
    </cfRule>
  </conditionalFormatting>
  <conditionalFormatting sqref="S13">
    <cfRule type="cellIs" dxfId="4" priority="150" operator="lessThanOrEqual">
      <formula>J13</formula>
    </cfRule>
  </conditionalFormatting>
  <conditionalFormatting sqref="S14">
    <cfRule type="cellIs" dxfId="4" priority="155" operator="lessThanOrEqual">
      <formula>J14</formula>
    </cfRule>
  </conditionalFormatting>
  <conditionalFormatting sqref="S15">
    <cfRule type="cellIs" dxfId="4" priority="160" operator="lessThanOrEqual">
      <formula>J15</formula>
    </cfRule>
  </conditionalFormatting>
  <conditionalFormatting sqref="S16">
    <cfRule type="cellIs" dxfId="4" priority="165" operator="lessThanOrEqual">
      <formula>J16</formula>
    </cfRule>
  </conditionalFormatting>
  <conditionalFormatting sqref="S17">
    <cfRule type="cellIs" dxfId="4" priority="170" operator="lessThanOrEqual">
      <formula>J17</formula>
    </cfRule>
  </conditionalFormatting>
  <conditionalFormatting sqref="S19">
    <cfRule type="cellIs" dxfId="4" priority="175" operator="lessThanOrEqual">
      <formula>J19</formula>
    </cfRule>
  </conditionalFormatting>
  <conditionalFormatting sqref="S20">
    <cfRule type="cellIs" dxfId="4" priority="180" operator="lessThanOrEqual">
      <formula>J20</formula>
    </cfRule>
  </conditionalFormatting>
  <conditionalFormatting sqref="S21">
    <cfRule type="cellIs" dxfId="4" priority="185" operator="lessThanOrEqual">
      <formula>J21</formula>
    </cfRule>
  </conditionalFormatting>
  <conditionalFormatting sqref="S22">
    <cfRule type="cellIs" dxfId="4" priority="190" operator="lessThanOrEqual">
      <formula>J22</formula>
    </cfRule>
  </conditionalFormatting>
  <conditionalFormatting sqref="S23">
    <cfRule type="cellIs" dxfId="4" priority="195" operator="lessThanOrEqual">
      <formula>J23</formula>
    </cfRule>
  </conditionalFormatting>
  <conditionalFormatting sqref="S24">
    <cfRule type="cellIs" dxfId="4" priority="200" operator="lessThanOrEqual">
      <formula>J24</formula>
    </cfRule>
  </conditionalFormatting>
  <conditionalFormatting sqref="S25">
    <cfRule type="cellIs" dxfId="4" priority="205" operator="lessThanOrEqual">
      <formula>J25</formula>
    </cfRule>
  </conditionalFormatting>
  <conditionalFormatting sqref="S26">
    <cfRule type="cellIs" dxfId="4" priority="210" operator="lessThanOrEqual">
      <formula>J26</formula>
    </cfRule>
  </conditionalFormatting>
  <conditionalFormatting sqref="S27">
    <cfRule type="cellIs" dxfId="4" priority="215" operator="lessThanOrEqual">
      <formula>J27</formula>
    </cfRule>
  </conditionalFormatting>
  <conditionalFormatting sqref="S28">
    <cfRule type="cellIs" dxfId="4" priority="220" operator="lessThanOrEqual">
      <formula>J28</formula>
    </cfRule>
  </conditionalFormatting>
  <conditionalFormatting sqref="S29">
    <cfRule type="cellIs" dxfId="4" priority="226" operator="lessThanOrEqual">
      <formula>J29</formula>
    </cfRule>
  </conditionalFormatting>
  <conditionalFormatting sqref="S30">
    <cfRule type="cellIs" dxfId="4" priority="231" operator="lessThanOrEqual">
      <formula>J30</formula>
    </cfRule>
  </conditionalFormatting>
  <conditionalFormatting sqref="S31">
    <cfRule type="cellIs" dxfId="4" priority="236" operator="lessThanOrEqual">
      <formula>J31</formula>
    </cfRule>
  </conditionalFormatting>
  <conditionalFormatting sqref="S33">
    <cfRule type="cellIs" dxfId="4" priority="241" operator="lessThanOrEqual">
      <formula>J33</formula>
    </cfRule>
  </conditionalFormatting>
  <conditionalFormatting sqref="S34">
    <cfRule type="cellIs" dxfId="4" priority="246" operator="lessThanOrEqual">
      <formula>J34</formula>
    </cfRule>
  </conditionalFormatting>
  <conditionalFormatting sqref="S35">
    <cfRule type="cellIs" dxfId="4" priority="251" operator="lessThanOrEqual">
      <formula>J35</formula>
    </cfRule>
  </conditionalFormatting>
  <conditionalFormatting sqref="S7">
    <cfRule type="cellIs" dxfId="4" priority="120" operator="lessThanOrEqual">
      <formula>J7</formula>
    </cfRule>
  </conditionalFormatting>
  <conditionalFormatting sqref="S8">
    <cfRule type="cellIs" dxfId="4" priority="125" operator="lessThanOrEqual">
      <formula>J8</formula>
    </cfRule>
  </conditionalFormatting>
  <conditionalFormatting sqref="S9">
    <cfRule type="cellIs" dxfId="4" priority="130" operator="lessThanOrEqual">
      <formula>J9</formula>
    </cfRule>
  </conditionalFormatting>
  <conditionalFormatting sqref="U10">
    <cfRule type="cellIs" dxfId="1" priority="271" operator="equal">
      <formula>0</formula>
    </cfRule>
    <cfRule type="cellIs" dxfId="2" priority="272" operator="lessThan">
      <formula>H10</formula>
    </cfRule>
  </conditionalFormatting>
  <conditionalFormatting sqref="U11">
    <cfRule type="cellIs" dxfId="1" priority="277" operator="equal">
      <formula>0</formula>
    </cfRule>
    <cfRule type="cellIs" dxfId="2" priority="278" operator="lessThan">
      <formula>H11</formula>
    </cfRule>
  </conditionalFormatting>
  <conditionalFormatting sqref="U12">
    <cfRule type="cellIs" dxfId="1" priority="283" operator="equal">
      <formula>0</formula>
    </cfRule>
    <cfRule type="cellIs" dxfId="2" priority="284" operator="lessThan">
      <formula>H12</formula>
    </cfRule>
  </conditionalFormatting>
  <conditionalFormatting sqref="U13">
    <cfRule type="cellIs" dxfId="1" priority="289" operator="equal">
      <formula>0</formula>
    </cfRule>
    <cfRule type="cellIs" dxfId="2" priority="290" operator="lessThan">
      <formula>H13</formula>
    </cfRule>
  </conditionalFormatting>
  <conditionalFormatting sqref="U14">
    <cfRule type="cellIs" dxfId="1" priority="295" operator="equal">
      <formula>0</formula>
    </cfRule>
    <cfRule type="cellIs" dxfId="2" priority="296" operator="lessThan">
      <formula>H14</formula>
    </cfRule>
  </conditionalFormatting>
  <conditionalFormatting sqref="U15">
    <cfRule type="cellIs" dxfId="1" priority="301" operator="equal">
      <formula>0</formula>
    </cfRule>
    <cfRule type="cellIs" dxfId="2" priority="302" operator="lessThan">
      <formula>H15</formula>
    </cfRule>
  </conditionalFormatting>
  <conditionalFormatting sqref="U19">
    <cfRule type="cellIs" dxfId="1" priority="306" operator="equal">
      <formula>0</formula>
    </cfRule>
    <cfRule type="cellIs" dxfId="2" priority="307" operator="lessThan">
      <formula>H19</formula>
    </cfRule>
  </conditionalFormatting>
  <conditionalFormatting sqref="U20">
    <cfRule type="cellIs" dxfId="1" priority="312" operator="equal">
      <formula>0</formula>
    </cfRule>
    <cfRule type="cellIs" dxfId="2" priority="313" operator="lessThan">
      <formula>H20</formula>
    </cfRule>
  </conditionalFormatting>
  <conditionalFormatting sqref="U21">
    <cfRule type="cellIs" dxfId="1" priority="318" operator="equal">
      <formula>0</formula>
    </cfRule>
    <cfRule type="cellIs" dxfId="2" priority="319" operator="lessThan">
      <formula>H21</formula>
    </cfRule>
  </conditionalFormatting>
  <conditionalFormatting sqref="U22">
    <cfRule type="cellIs" dxfId="1" priority="324" operator="equal">
      <formula>0</formula>
    </cfRule>
    <cfRule type="cellIs" dxfId="2" priority="325" operator="lessThan">
      <formula>H22</formula>
    </cfRule>
  </conditionalFormatting>
  <conditionalFormatting sqref="U23">
    <cfRule type="cellIs" dxfId="1" priority="330" operator="equal">
      <formula>0</formula>
    </cfRule>
    <cfRule type="cellIs" dxfId="2" priority="331" operator="lessThan">
      <formula>H23</formula>
    </cfRule>
  </conditionalFormatting>
  <conditionalFormatting sqref="U24">
    <cfRule type="cellIs" dxfId="1" priority="336" operator="equal">
      <formula>0</formula>
    </cfRule>
    <cfRule type="cellIs" dxfId="2" priority="337" operator="lessThan">
      <formula>H24</formula>
    </cfRule>
  </conditionalFormatting>
  <conditionalFormatting sqref="U25">
    <cfRule type="cellIs" dxfId="1" priority="342" operator="equal">
      <formula>0</formula>
    </cfRule>
    <cfRule type="cellIs" dxfId="2" priority="343" operator="lessThan">
      <formula>H25</formula>
    </cfRule>
  </conditionalFormatting>
  <conditionalFormatting sqref="U26">
    <cfRule type="cellIs" dxfId="1" priority="348" operator="equal">
      <formula>0</formula>
    </cfRule>
    <cfRule type="cellIs" dxfId="2" priority="349" operator="lessThan">
      <formula>H26</formula>
    </cfRule>
  </conditionalFormatting>
  <conditionalFormatting sqref="U27">
    <cfRule type="cellIs" dxfId="1" priority="354" operator="equal">
      <formula>0</formula>
    </cfRule>
    <cfRule type="cellIs" dxfId="2" priority="355" operator="lessThan">
      <formula>H27</formula>
    </cfRule>
  </conditionalFormatting>
  <conditionalFormatting sqref="U28">
    <cfRule type="cellIs" dxfId="1" priority="360" operator="equal">
      <formula>0</formula>
    </cfRule>
    <cfRule type="cellIs" dxfId="2" priority="361" operator="lessThan">
      <formula>H28</formula>
    </cfRule>
  </conditionalFormatting>
  <conditionalFormatting sqref="U30">
    <cfRule type="cellIs" dxfId="1" priority="366" operator="equal">
      <formula>0</formula>
    </cfRule>
    <cfRule type="cellIs" dxfId="2" priority="367" operator="lessThan">
      <formula>H30</formula>
    </cfRule>
  </conditionalFormatting>
  <conditionalFormatting sqref="U31">
    <cfRule type="cellIs" dxfId="1" priority="371" operator="equal">
      <formula>0</formula>
    </cfRule>
    <cfRule type="cellIs" dxfId="2" priority="372" operator="lessThan">
      <formula>H31</formula>
    </cfRule>
  </conditionalFormatting>
  <conditionalFormatting sqref="U7">
    <cfRule type="cellIs" dxfId="1" priority="253" operator="equal">
      <formula>0</formula>
    </cfRule>
    <cfRule type="cellIs" dxfId="2" priority="254" operator="lessThan">
      <formula>H7</formula>
    </cfRule>
  </conditionalFormatting>
  <conditionalFormatting sqref="U8">
    <cfRule type="cellIs" dxfId="1" priority="259" operator="equal">
      <formula>0</formula>
    </cfRule>
    <cfRule type="cellIs" dxfId="2" priority="260" operator="lessThan">
      <formula>H8</formula>
    </cfRule>
  </conditionalFormatting>
  <conditionalFormatting sqref="U9">
    <cfRule type="cellIs" dxfId="1" priority="265" operator="equal">
      <formula>0</formula>
    </cfRule>
    <cfRule type="cellIs" dxfId="2" priority="266" operator="lessThan">
      <formula>H9</formula>
    </cfRule>
  </conditionalFormatting>
  <conditionalFormatting sqref="V10">
    <cfRule type="expression" dxfId="3" priority="273">
      <formula>AND(V10&gt;0,V10&lt;10)</formula>
    </cfRule>
    <cfRule type="cellIs" dxfId="1" priority="274" operator="greaterThan">
      <formula>U10</formula>
    </cfRule>
  </conditionalFormatting>
  <conditionalFormatting sqref="V11">
    <cfRule type="expression" dxfId="3" priority="279">
      <formula>AND(V11&gt;0,V11&lt;10)</formula>
    </cfRule>
    <cfRule type="cellIs" dxfId="1" priority="280" operator="greaterThan">
      <formula>U11</formula>
    </cfRule>
  </conditionalFormatting>
  <conditionalFormatting sqref="V12">
    <cfRule type="expression" dxfId="3" priority="285">
      <formula>AND(V12&gt;0,V12&lt;10)</formula>
    </cfRule>
    <cfRule type="cellIs" dxfId="1" priority="286" operator="greaterThan">
      <formula>U12</formula>
    </cfRule>
  </conditionalFormatting>
  <conditionalFormatting sqref="V13">
    <cfRule type="expression" dxfId="3" priority="291">
      <formula>AND(V13&gt;0,V13&lt;10000)</formula>
    </cfRule>
    <cfRule type="cellIs" dxfId="1" priority="292" operator="greaterThan">
      <formula>U13</formula>
    </cfRule>
  </conditionalFormatting>
  <conditionalFormatting sqref="V14">
    <cfRule type="expression" dxfId="3" priority="297">
      <formula>AND(V14&gt;0,V14&lt;4000)</formula>
    </cfRule>
    <cfRule type="cellIs" dxfId="1" priority="298" operator="greaterThan">
      <formula>U14</formula>
    </cfRule>
  </conditionalFormatting>
  <conditionalFormatting sqref="V15">
    <cfRule type="cellIs" dxfId="1" priority="303" operator="greaterThan">
      <formula>U15</formula>
    </cfRule>
  </conditionalFormatting>
  <conditionalFormatting sqref="V19">
    <cfRule type="expression" dxfId="3" priority="308">
      <formula>AND(V19&gt;0,V19&lt;30000)</formula>
    </cfRule>
    <cfRule type="cellIs" dxfId="1" priority="309" operator="greaterThan">
      <formula>U19</formula>
    </cfRule>
  </conditionalFormatting>
  <conditionalFormatting sqref="V20">
    <cfRule type="expression" dxfId="3" priority="314">
      <formula>AND(V20&gt;0,V20&lt;10)</formula>
    </cfRule>
    <cfRule type="cellIs" dxfId="1" priority="315" operator="greaterThan">
      <formula>U20</formula>
    </cfRule>
  </conditionalFormatting>
  <conditionalFormatting sqref="V21">
    <cfRule type="expression" dxfId="3" priority="320">
      <formula>AND(V21&gt;0,V21&lt;30000)</formula>
    </cfRule>
    <cfRule type="cellIs" dxfId="1" priority="321" operator="greaterThan">
      <formula>U21</formula>
    </cfRule>
  </conditionalFormatting>
  <conditionalFormatting sqref="V22">
    <cfRule type="expression" dxfId="3" priority="326">
      <formula>AND(V22&gt;0,V22&lt;30000)</formula>
    </cfRule>
    <cfRule type="cellIs" dxfId="1" priority="327" operator="greaterThan">
      <formula>U22</formula>
    </cfRule>
  </conditionalFormatting>
  <conditionalFormatting sqref="V23">
    <cfRule type="expression" dxfId="3" priority="332">
      <formula>AND(V23&gt;0,V23&lt;30000)</formula>
    </cfRule>
    <cfRule type="cellIs" dxfId="1" priority="333" operator="greaterThan">
      <formula>U23</formula>
    </cfRule>
  </conditionalFormatting>
  <conditionalFormatting sqref="V24">
    <cfRule type="expression" dxfId="3" priority="338">
      <formula>AND(V24&gt;0,V24&lt;30000)</formula>
    </cfRule>
    <cfRule type="cellIs" dxfId="1" priority="339" operator="greaterThan">
      <formula>U24</formula>
    </cfRule>
  </conditionalFormatting>
  <conditionalFormatting sqref="V25">
    <cfRule type="expression" dxfId="3" priority="344">
      <formula>AND(V25&gt;0,V25&lt;30000)</formula>
    </cfRule>
    <cfRule type="cellIs" dxfId="1" priority="345" operator="greaterThan">
      <formula>U25</formula>
    </cfRule>
  </conditionalFormatting>
  <conditionalFormatting sqref="V26">
    <cfRule type="expression" dxfId="3" priority="350">
      <formula>AND(V26&gt;0,V26&lt;10)</formula>
    </cfRule>
    <cfRule type="cellIs" dxfId="1" priority="351" operator="greaterThan">
      <formula>U26</formula>
    </cfRule>
  </conditionalFormatting>
  <conditionalFormatting sqref="V27">
    <cfRule type="expression" dxfId="3" priority="356">
      <formula>AND(V27&gt;0,V27&lt;5)</formula>
    </cfRule>
    <cfRule type="cellIs" dxfId="1" priority="357" operator="greaterThan">
      <formula>U27</formula>
    </cfRule>
  </conditionalFormatting>
  <conditionalFormatting sqref="V28">
    <cfRule type="expression" dxfId="3" priority="362">
      <formula>AND(V28&gt;0,V28&lt;5)</formula>
    </cfRule>
    <cfRule type="cellIs" dxfId="1" priority="363" operator="greaterThan">
      <formula>U28</formula>
    </cfRule>
  </conditionalFormatting>
  <conditionalFormatting sqref="V30">
    <cfRule type="cellIs" dxfId="1" priority="368" operator="greaterThan">
      <formula>U30</formula>
    </cfRule>
  </conditionalFormatting>
  <conditionalFormatting sqref="V31">
    <cfRule type="expression" dxfId="3" priority="373">
      <formula>AND(V31&gt;0,V31&lt;5)</formula>
    </cfRule>
    <cfRule type="cellIs" dxfId="1" priority="374" operator="greaterThan">
      <formula>U31</formula>
    </cfRule>
  </conditionalFormatting>
  <conditionalFormatting sqref="V7">
    <cfRule type="expression" dxfId="3" priority="255">
      <formula>AND(V7&gt;0,V7&lt;10)</formula>
    </cfRule>
    <cfRule type="cellIs" dxfId="1" priority="256" operator="greaterThan">
      <formula>U7</formula>
    </cfRule>
  </conditionalFormatting>
  <conditionalFormatting sqref="V8">
    <cfRule type="expression" dxfId="3" priority="261">
      <formula>AND(V8&gt;0,V8&lt;10)</formula>
    </cfRule>
    <cfRule type="cellIs" dxfId="1" priority="262" operator="greaterThan">
      <formula>U8</formula>
    </cfRule>
  </conditionalFormatting>
  <conditionalFormatting sqref="V9">
    <cfRule type="expression" dxfId="3" priority="267">
      <formula>AND(V9&gt;0,V9&lt;10)</formula>
    </cfRule>
    <cfRule type="cellIs" dxfId="1" priority="268" operator="greaterThan">
      <formula>U9</formula>
    </cfRule>
  </conditionalFormatting>
  <conditionalFormatting sqref="W10">
    <cfRule type="cellIs" dxfId="4" priority="276" operator="lessThanOrEqual">
      <formula>I10</formula>
    </cfRule>
  </conditionalFormatting>
  <conditionalFormatting sqref="W11">
    <cfRule type="cellIs" dxfId="4" priority="282" operator="lessThanOrEqual">
      <formula>I11</formula>
    </cfRule>
  </conditionalFormatting>
  <conditionalFormatting sqref="W12">
    <cfRule type="cellIs" dxfId="4" priority="288" operator="lessThanOrEqual">
      <formula>I12</formula>
    </cfRule>
  </conditionalFormatting>
  <conditionalFormatting sqref="W13">
    <cfRule type="cellIs" dxfId="4" priority="294" operator="lessThanOrEqual">
      <formula>I13</formula>
    </cfRule>
  </conditionalFormatting>
  <conditionalFormatting sqref="W14">
    <cfRule type="cellIs" dxfId="4" priority="300" operator="lessThanOrEqual">
      <formula>I14</formula>
    </cfRule>
  </conditionalFormatting>
  <conditionalFormatting sqref="W15">
    <cfRule type="cellIs" dxfId="4" priority="305" operator="lessThanOrEqual">
      <formula>I15</formula>
    </cfRule>
  </conditionalFormatting>
  <conditionalFormatting sqref="W19">
    <cfRule type="cellIs" dxfId="4" priority="311" operator="lessThanOrEqual">
      <formula>I19</formula>
    </cfRule>
  </conditionalFormatting>
  <conditionalFormatting sqref="W20">
    <cfRule type="cellIs" dxfId="4" priority="317" operator="lessThanOrEqual">
      <formula>I20</formula>
    </cfRule>
  </conditionalFormatting>
  <conditionalFormatting sqref="W21">
    <cfRule type="cellIs" dxfId="4" priority="323" operator="lessThanOrEqual">
      <formula>I21</formula>
    </cfRule>
  </conditionalFormatting>
  <conditionalFormatting sqref="W22">
    <cfRule type="cellIs" dxfId="4" priority="329" operator="lessThanOrEqual">
      <formula>I22</formula>
    </cfRule>
  </conditionalFormatting>
  <conditionalFormatting sqref="W23">
    <cfRule type="cellIs" dxfId="4" priority="335" operator="lessThanOrEqual">
      <formula>I23</formula>
    </cfRule>
  </conditionalFormatting>
  <conditionalFormatting sqref="W24">
    <cfRule type="cellIs" dxfId="4" priority="341" operator="lessThanOrEqual">
      <formula>I24</formula>
    </cfRule>
  </conditionalFormatting>
  <conditionalFormatting sqref="W25">
    <cfRule type="cellIs" dxfId="4" priority="347" operator="lessThanOrEqual">
      <formula>I25</formula>
    </cfRule>
  </conditionalFormatting>
  <conditionalFormatting sqref="W26">
    <cfRule type="cellIs" dxfId="4" priority="353" operator="lessThanOrEqual">
      <formula>I26</formula>
    </cfRule>
  </conditionalFormatting>
  <conditionalFormatting sqref="W27">
    <cfRule type="cellIs" dxfId="4" priority="359" operator="lessThanOrEqual">
      <formula>I27</formula>
    </cfRule>
  </conditionalFormatting>
  <conditionalFormatting sqref="W28">
    <cfRule type="cellIs" dxfId="4" priority="365" operator="lessThanOrEqual">
      <formula>I28</formula>
    </cfRule>
  </conditionalFormatting>
  <conditionalFormatting sqref="W30">
    <cfRule type="cellIs" dxfId="4" priority="370" operator="lessThanOrEqual">
      <formula>I30</formula>
    </cfRule>
  </conditionalFormatting>
  <conditionalFormatting sqref="W31">
    <cfRule type="cellIs" dxfId="4" priority="376" operator="lessThanOrEqual">
      <formula>I31</formula>
    </cfRule>
  </conditionalFormatting>
  <conditionalFormatting sqref="W7">
    <cfRule type="cellIs" dxfId="4" priority="258" operator="lessThanOrEqual">
      <formula>I7</formula>
    </cfRule>
  </conditionalFormatting>
  <conditionalFormatting sqref="W8">
    <cfRule type="cellIs" dxfId="4" priority="264" operator="lessThanOrEqual">
      <formula>I8</formula>
    </cfRule>
  </conditionalFormatting>
  <conditionalFormatting sqref="W9">
    <cfRule type="cellIs" dxfId="4" priority="270" operator="lessThanOrEqual">
      <formula>I9</formula>
    </cfRule>
  </conditionalFormatting>
  <conditionalFormatting sqref="X10">
    <cfRule type="cellIs" dxfId="4" priority="275" operator="lessThanOrEqual">
      <formula>J10</formula>
    </cfRule>
  </conditionalFormatting>
  <conditionalFormatting sqref="X11">
    <cfRule type="cellIs" dxfId="4" priority="281" operator="lessThanOrEqual">
      <formula>J11</formula>
    </cfRule>
  </conditionalFormatting>
  <conditionalFormatting sqref="X12">
    <cfRule type="cellIs" dxfId="4" priority="287" operator="lessThanOrEqual">
      <formula>J12</formula>
    </cfRule>
  </conditionalFormatting>
  <conditionalFormatting sqref="X13">
    <cfRule type="cellIs" dxfId="4" priority="293" operator="lessThanOrEqual">
      <formula>J13</formula>
    </cfRule>
  </conditionalFormatting>
  <conditionalFormatting sqref="X14">
    <cfRule type="cellIs" dxfId="4" priority="299" operator="lessThanOrEqual">
      <formula>J14</formula>
    </cfRule>
  </conditionalFormatting>
  <conditionalFormatting sqref="X15">
    <cfRule type="cellIs" dxfId="4" priority="304" operator="lessThanOrEqual">
      <formula>J15</formula>
    </cfRule>
  </conditionalFormatting>
  <conditionalFormatting sqref="X19">
    <cfRule type="cellIs" dxfId="4" priority="310" operator="lessThanOrEqual">
      <formula>J19</formula>
    </cfRule>
  </conditionalFormatting>
  <conditionalFormatting sqref="X20">
    <cfRule type="cellIs" dxfId="4" priority="316" operator="lessThanOrEqual">
      <formula>J20</formula>
    </cfRule>
  </conditionalFormatting>
  <conditionalFormatting sqref="X21">
    <cfRule type="cellIs" dxfId="4" priority="322" operator="lessThanOrEqual">
      <formula>J21</formula>
    </cfRule>
  </conditionalFormatting>
  <conditionalFormatting sqref="X22">
    <cfRule type="cellIs" dxfId="4" priority="328" operator="lessThanOrEqual">
      <formula>J22</formula>
    </cfRule>
  </conditionalFormatting>
  <conditionalFormatting sqref="X23">
    <cfRule type="cellIs" dxfId="4" priority="334" operator="lessThanOrEqual">
      <formula>J23</formula>
    </cfRule>
  </conditionalFormatting>
  <conditionalFormatting sqref="X24">
    <cfRule type="cellIs" dxfId="4" priority="340" operator="lessThanOrEqual">
      <formula>J24</formula>
    </cfRule>
  </conditionalFormatting>
  <conditionalFormatting sqref="X25">
    <cfRule type="cellIs" dxfId="4" priority="346" operator="lessThanOrEqual">
      <formula>J25</formula>
    </cfRule>
  </conditionalFormatting>
  <conditionalFormatting sqref="X26">
    <cfRule type="cellIs" dxfId="4" priority="352" operator="lessThanOrEqual">
      <formula>J26</formula>
    </cfRule>
  </conditionalFormatting>
  <conditionalFormatting sqref="X27">
    <cfRule type="cellIs" dxfId="4" priority="358" operator="lessThanOrEqual">
      <formula>J27</formula>
    </cfRule>
  </conditionalFormatting>
  <conditionalFormatting sqref="X28">
    <cfRule type="cellIs" dxfId="4" priority="364" operator="lessThanOrEqual">
      <formula>J28</formula>
    </cfRule>
  </conditionalFormatting>
  <conditionalFormatting sqref="X30">
    <cfRule type="cellIs" dxfId="4" priority="369" operator="lessThanOrEqual">
      <formula>J30</formula>
    </cfRule>
  </conditionalFormatting>
  <conditionalFormatting sqref="X31">
    <cfRule type="cellIs" dxfId="4" priority="375" operator="lessThanOrEqual">
      <formula>J31</formula>
    </cfRule>
  </conditionalFormatting>
  <conditionalFormatting sqref="X7">
    <cfRule type="cellIs" dxfId="4" priority="257" operator="lessThanOrEqual">
      <formula>J7</formula>
    </cfRule>
  </conditionalFormatting>
  <conditionalFormatting sqref="X8">
    <cfRule type="cellIs" dxfId="4" priority="263" operator="lessThanOrEqual">
      <formula>J8</formula>
    </cfRule>
  </conditionalFormatting>
  <conditionalFormatting sqref="X9">
    <cfRule type="cellIs" dxfId="4" priority="269" operator="lessThanOrEqual">
      <formula>J9</formula>
    </cfRule>
  </conditionalFormatting>
  <conditionalFormatting sqref="Z10">
    <cfRule type="cellIs" dxfId="1" priority="389" operator="equal">
      <formula>0</formula>
    </cfRule>
    <cfRule type="cellIs" dxfId="2" priority="390" operator="lessThan">
      <formula>H10</formula>
    </cfRule>
  </conditionalFormatting>
  <conditionalFormatting sqref="Z11">
    <cfRule type="cellIs" dxfId="1" priority="395" operator="equal">
      <formula>0</formula>
    </cfRule>
    <cfRule type="cellIs" dxfId="2" priority="396" operator="lessThan">
      <formula>H11</formula>
    </cfRule>
  </conditionalFormatting>
  <conditionalFormatting sqref="Z12">
    <cfRule type="cellIs" dxfId="1" priority="401" operator="equal">
      <formula>0</formula>
    </cfRule>
    <cfRule type="cellIs" dxfId="2" priority="402" operator="lessThan">
      <formula>H12</formula>
    </cfRule>
  </conditionalFormatting>
  <conditionalFormatting sqref="Z18">
    <cfRule type="cellIs" dxfId="1" priority="407" operator="equal">
      <formula>0</formula>
    </cfRule>
    <cfRule type="cellIs" dxfId="2" priority="408" operator="lessThan">
      <formula>H18</formula>
    </cfRule>
  </conditionalFormatting>
  <conditionalFormatting sqref="Z24">
    <cfRule type="cellIs" dxfId="1" priority="412" operator="equal">
      <formula>0</formula>
    </cfRule>
    <cfRule type="cellIs" dxfId="2" priority="413" operator="lessThan">
      <formula>H24</formula>
    </cfRule>
  </conditionalFormatting>
  <conditionalFormatting sqref="Z25">
    <cfRule type="cellIs" dxfId="1" priority="418" operator="equal">
      <formula>0</formula>
    </cfRule>
    <cfRule type="cellIs" dxfId="2" priority="419" operator="lessThan">
      <formula>H25</formula>
    </cfRule>
  </conditionalFormatting>
  <conditionalFormatting sqref="Z26">
    <cfRule type="cellIs" dxfId="1" priority="424" operator="equal">
      <formula>0</formula>
    </cfRule>
    <cfRule type="cellIs" dxfId="2" priority="425" operator="lessThan">
      <formula>H26</formula>
    </cfRule>
  </conditionalFormatting>
  <conditionalFormatting sqref="Z29">
    <cfRule type="cellIs" dxfId="1" priority="429" operator="equal">
      <formula>0</formula>
    </cfRule>
    <cfRule type="cellIs" dxfId="2" priority="430" operator="lessThan">
      <formula>H29</formula>
    </cfRule>
  </conditionalFormatting>
  <conditionalFormatting sqref="Z7">
    <cfRule type="cellIs" dxfId="1" priority="377" operator="equal">
      <formula>0</formula>
    </cfRule>
    <cfRule type="cellIs" dxfId="2" priority="378" operator="lessThan">
      <formula>H7</formula>
    </cfRule>
  </conditionalFormatting>
  <conditionalFormatting sqref="Z9">
    <cfRule type="cellIs" dxfId="1" priority="383" operator="equal">
      <formula>0</formula>
    </cfRule>
    <cfRule type="cellIs" dxfId="2" priority="384" operator="lessThan">
      <formula>H9</formula>
    </cfRule>
  </conditionalFormatting>
  <hyperlinks>
    <hyperlink ref="G7" r:id="rId1"/>
    <hyperlink ref="T7" r:id="rId2"/>
    <hyperlink ref="Y7" r:id="rId3"/>
    <hyperlink ref="AD7" r:id="rId4"/>
    <hyperlink ref="AI7" r:id="rId5"/>
    <hyperlink ref="AN7" r:id="rId6"/>
    <hyperlink ref="G8" r:id="rId7"/>
    <hyperlink ref="T8" r:id="rId8"/>
    <hyperlink ref="Y8" r:id="rId9"/>
    <hyperlink ref="AI8" r:id="rId10"/>
    <hyperlink ref="AN8" r:id="rId11"/>
    <hyperlink ref="G9" r:id="rId12"/>
    <hyperlink ref="T9" r:id="rId13"/>
    <hyperlink ref="Y9" r:id="rId14"/>
    <hyperlink ref="AD9" r:id="rId15"/>
    <hyperlink ref="AN9" r:id="rId16"/>
    <hyperlink ref="G10" r:id="rId17"/>
    <hyperlink ref="T10" r:id="rId18"/>
    <hyperlink ref="Y10" r:id="rId19"/>
    <hyperlink ref="AD10" r:id="rId20"/>
    <hyperlink ref="AI10" r:id="rId21"/>
    <hyperlink ref="AN10" r:id="rId22"/>
    <hyperlink ref="G11" r:id="rId23"/>
    <hyperlink ref="T11" r:id="rId24"/>
    <hyperlink ref="Y11" r:id="rId25"/>
    <hyperlink ref="AD11" r:id="rId26"/>
    <hyperlink ref="AI11" r:id="rId27"/>
    <hyperlink ref="AN11" r:id="rId28"/>
    <hyperlink ref="G12" r:id="rId29"/>
    <hyperlink ref="T12" r:id="rId30"/>
    <hyperlink ref="Y12" r:id="rId31"/>
    <hyperlink ref="AD12" r:id="rId32"/>
    <hyperlink ref="AI12" r:id="rId33"/>
    <hyperlink ref="AN12" r:id="rId34"/>
    <hyperlink ref="AS12" r:id="rId35"/>
    <hyperlink ref="G13" r:id="rId36"/>
    <hyperlink ref="T13" r:id="rId37"/>
    <hyperlink ref="Y13" r:id="rId38"/>
    <hyperlink ref="AI13" r:id="rId39"/>
    <hyperlink ref="AN13" r:id="rId40"/>
    <hyperlink ref="G14" r:id="rId41"/>
    <hyperlink ref="T14" r:id="rId42"/>
    <hyperlink ref="Y14" r:id="rId43"/>
    <hyperlink ref="AI14" r:id="rId44"/>
    <hyperlink ref="AN14" r:id="rId45"/>
    <hyperlink ref="AX14" r:id="rId46"/>
    <hyperlink ref="G15" r:id="rId47"/>
    <hyperlink ref="T15" r:id="rId48"/>
    <hyperlink ref="Y15" r:id="rId49"/>
    <hyperlink ref="AI15" r:id="rId50"/>
    <hyperlink ref="AN15" r:id="rId51"/>
    <hyperlink ref="AX15" r:id="rId52"/>
    <hyperlink ref="G16" r:id="rId53"/>
    <hyperlink ref="T16" r:id="rId54"/>
    <hyperlink ref="G17" r:id="rId55"/>
    <hyperlink ref="T17" r:id="rId56"/>
    <hyperlink ref="G18" r:id="rId57"/>
    <hyperlink ref="AD18" r:id="rId58"/>
    <hyperlink ref="G19" r:id="rId59"/>
    <hyperlink ref="T19" r:id="rId60"/>
    <hyperlink ref="Y19" r:id="rId61"/>
    <hyperlink ref="AI19" r:id="rId62"/>
    <hyperlink ref="AN19" r:id="rId63"/>
    <hyperlink ref="AS19" r:id="rId64"/>
    <hyperlink ref="G20" r:id="rId65"/>
    <hyperlink ref="T20" r:id="rId66"/>
    <hyperlink ref="Y20" r:id="rId67"/>
    <hyperlink ref="AI20" r:id="rId68"/>
    <hyperlink ref="AN20" r:id="rId69"/>
    <hyperlink ref="AS20" r:id="rId70"/>
    <hyperlink ref="G21" r:id="rId71"/>
    <hyperlink ref="T21" r:id="rId72"/>
    <hyperlink ref="Y21" r:id="rId73"/>
    <hyperlink ref="AI21" r:id="rId74"/>
    <hyperlink ref="AN21" r:id="rId75"/>
    <hyperlink ref="G22" r:id="rId76"/>
    <hyperlink ref="T22" r:id="rId77"/>
    <hyperlink ref="Y22" r:id="rId78"/>
    <hyperlink ref="AI22" r:id="rId79"/>
    <hyperlink ref="AS22" r:id="rId80"/>
    <hyperlink ref="G23" r:id="rId81"/>
    <hyperlink ref="T23" r:id="rId82"/>
    <hyperlink ref="Y23" r:id="rId83"/>
    <hyperlink ref="AI23" r:id="rId84"/>
    <hyperlink ref="AN23" r:id="rId85"/>
    <hyperlink ref="G24" r:id="rId86"/>
    <hyperlink ref="T24" r:id="rId87"/>
    <hyperlink ref="Y24" r:id="rId88"/>
    <hyperlink ref="AD24" r:id="rId89"/>
    <hyperlink ref="AI24" r:id="rId90"/>
    <hyperlink ref="AN24" r:id="rId91"/>
    <hyperlink ref="AS24" r:id="rId92"/>
    <hyperlink ref="G25" r:id="rId93"/>
    <hyperlink ref="T25" r:id="rId94"/>
    <hyperlink ref="Y25" r:id="rId95"/>
    <hyperlink ref="AD25" r:id="rId96"/>
    <hyperlink ref="AI25" r:id="rId97"/>
    <hyperlink ref="AN25" r:id="rId98"/>
    <hyperlink ref="AS25" r:id="rId99"/>
    <hyperlink ref="G26" r:id="rId100"/>
    <hyperlink ref="T26" r:id="rId101"/>
    <hyperlink ref="Y26" r:id="rId102"/>
    <hyperlink ref="AD26" r:id="rId103"/>
    <hyperlink ref="AI26" r:id="rId104"/>
    <hyperlink ref="AN26" r:id="rId105"/>
    <hyperlink ref="AX26" r:id="rId106"/>
    <hyperlink ref="G27" r:id="rId107"/>
    <hyperlink ref="T27" r:id="rId108"/>
    <hyperlink ref="Y27" r:id="rId109"/>
    <hyperlink ref="AI27" r:id="rId110"/>
    <hyperlink ref="AN27" r:id="rId111"/>
    <hyperlink ref="AS27" r:id="rId112"/>
    <hyperlink ref="G28" r:id="rId113"/>
    <hyperlink ref="T28" r:id="rId114"/>
    <hyperlink ref="Y28" r:id="rId115"/>
    <hyperlink ref="AI28" r:id="rId116"/>
    <hyperlink ref="AN28" r:id="rId117"/>
    <hyperlink ref="AS28" r:id="rId118"/>
    <hyperlink ref="G29" r:id="rId119"/>
    <hyperlink ref="T29" r:id="rId120"/>
    <hyperlink ref="AD29" r:id="rId121"/>
    <hyperlink ref="AI29" r:id="rId122"/>
    <hyperlink ref="G30" r:id="rId123"/>
    <hyperlink ref="T30" r:id="rId124"/>
    <hyperlink ref="Y30" r:id="rId125"/>
    <hyperlink ref="AI30" r:id="rId126"/>
    <hyperlink ref="AN30" r:id="rId127"/>
    <hyperlink ref="G31" r:id="rId128"/>
    <hyperlink ref="T31" r:id="rId129"/>
    <hyperlink ref="Y31" r:id="rId130"/>
    <hyperlink ref="AI31" r:id="rId131"/>
    <hyperlink ref="AN31" r:id="rId132"/>
    <hyperlink ref="AS31" r:id="rId133"/>
    <hyperlink ref="AX31" r:id="rId134"/>
    <hyperlink ref="G32" r:id="rId135"/>
    <hyperlink ref="G33" r:id="rId136"/>
    <hyperlink ref="T33" r:id="rId137"/>
    <hyperlink ref="G34" r:id="rId138"/>
    <hyperlink ref="T34" r:id="rId139"/>
    <hyperlink ref="AI34" r:id="rId140"/>
    <hyperlink ref="G35" r:id="rId141"/>
    <hyperlink ref="T35" r:id="rId142"/>
    <hyperlink ref="AI35" r:id="rId143"/>
    <hyperlink ref="K37" r:id="rId144"/>
    <hyperlink ref="P37" r:id="rId145"/>
    <hyperlink ref="U37" r:id="rId146"/>
    <hyperlink ref="Z37" r:id="rId147"/>
    <hyperlink ref="AE37" r:id="rId148"/>
    <hyperlink ref="AJ37" r:id="rId149"/>
    <hyperlink ref="AO37" r:id="rId150"/>
    <hyperlink ref="AT37" r:id="rId151"/>
  </hyperlinks>
  <pageMargins left="0.7" right="0.7" top="0.75" bottom="0.75" header="0.3" footer="0.3"/>
  <legacyDrawing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reDIP-SID-kicost.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2021-04-25T16:20:43Z</dcterms:created>
  <dcterms:modified xsi:type="dcterms:W3CDTF">2021-04-25T16:20:43Z</dcterms:modified>
</cp:coreProperties>
</file>