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'!$K$5:$O$39</definedName>
    <definedName name="BoardQty">'reDIP-SID-BOM. '!$J$1</definedName>
    <definedName name="digikey_part_data">'reDIP-SID-BOM. '!$P$5:$T$39</definedName>
    <definedName name="farnell_part_data">'reDIP-SID-BOM. '!$U$5:$Y$39</definedName>
    <definedName name="global_part_data">'reDIP-SID-BOM. '!$A$5:$J$39</definedName>
    <definedName name="lcsc_part_data">'reDIP-SID-BOM. '!$Z$5:$AD$39</definedName>
    <definedName name="mouser_part_data">'reDIP-SID-BOM. '!$AE$5:$AI$39</definedName>
    <definedName name="newark_part_data">'reDIP-SID-BOM. '!$AJ$5:$AN$39</definedName>
    <definedName name="PURCHASE_DESCRIPTION">'reDIP-SID-BOM. '!$J$42</definedName>
    <definedName name="rs_part_data">'reDIP-SID-BOM. '!$AO$5:$AS$39</definedName>
    <definedName name="tme_part_data">'reDIP-SID-BOM. '!$AT$5:$AX$39</definedName>
    <definedName name="TotalCost">'reDIP-SID-BOM. '!$J$3</definedName>
    <definedName name="USD_GBP">'reDIP-SID-BOM. '!$C$42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$0.08    $324.00
  8000   $0.08    $600.00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$0.20      $2.05
    25   $0.18      $4.40
    50   $0.15      $7.30
   100   $0.12     $11.60
 15000   $0.06    $930.00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$3.06
    50   $0.31     $15.30
   100   $0.18     $18.40
  1000   $0.12    $116.00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$0.37      $3.67
    25   $0.32      $7.95
    50   $0.27     $13.50
   100   $0.22     $22.10
 10000   $0.11  $1,130.00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$3.35
   100   $0.19     $18.99
   500   $0.13     $62.86
  1000   $0.10     $96.39
  2000   $0.08    $167.64
  5000   $0.08    $377.20
 10000   $0.07    $670.60
 30000   $0.06  $1,886.10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£0.05    £506.00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$0.29      $2.90
    50   $0.29     $14.50
   100   $0.16     $16.40
  1000   $0.08     $84.00
 10000   $0.06    $600.00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£0.12      £3.03
   100   £0.08      £7.51
   500   £0.06     £28.60
  4000   £0.04    £171.60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£0.11      £2.66
   100   £0.08      £7.51
   500   £0.05     £27.10
  4000   £0.04    £156.00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$0.04      $0.39
    25   $0.04      $0.91
    50   $0.03      $1.35
   100   $0.02      $2.32
   250   $0.02      $5.61
   500   $0.02      $9.68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$0.18      $1.82
    25   $0.14      $3.39
    50   $0.12      $5.81
   100   $0.11     $11.22
   250   $0.10     $24.19
   500   $0.09     $46.44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$0.38      $3.79
    25   $0.33      $8.13
    50   $0.28     $13.82
   100   $0.27     $26.55
   250   $0.24     $59.60
   500   $0.23    $113.78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£0.01    £382.50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10000   $0.01     $70.00
 15000   $0.01    $105.00
 20000   $0.01    $120.00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$0.07      $1.65
    50   $0.04      $1.75
   100   $0.03      $2.70
   250   $0.02      $5.50
   500   $0.02      $8.00
  1000   $0.01     $11.00
  2500   $0.01     $25.00
  5000   $0.01     $45.00
 15000   $0.01    $135.00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$0.10      $4.94
   500   $0.07     $36.86
  1500   $0.07    $103.71
  5000   $0.06    $322.75
 25000   $0.06  $1,562.75
 50000   $0.06  $3,075.00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45000   $0.00    $180.00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$78.23
  1000   $0.13    $130.99
  2500   $0.13    $318.38
  8500   $0.12  $1,020.59
 17000   $0.11  $1,917.43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$1.01     $10.07
    30   $0.95     $28.53
   100   $0.90     $89.52
   500   $0.87    $435.20
  1000   $0.86    $858.20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$10.10
   100   $0.18     $18.00
  1000   $0.12    $123.00
 10000   $0.12  $1,230.00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100   £0.14     £14.25
  1000   £0.10     £96.10
  3000   £0.08    £249.30
  8500   £0.08    £691.90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$0.08    $770.00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 9000   $0.06    $585.00
 18000   $0.06  $1,098.00
 48000   $0.06  $2,688.00
 90000   $0.05  $4,770.00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$0.54      $5.38
   100   $0.38     $38.40
  3000   $0.15    $438.00
  6000   $0.14    $858.00
 12000   $0.14  $1,680.00
 18000   $0.14  $2,484.00
 24000   $0.14  $3,264.00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£0.32      £5.71
   108   £0.16     £17.50
  1008   £0.12    £122.98
  3000   £0.13    £393.00
  3006   £0.10    £303.61
  9000   £0.15  £1,323.00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$4.07      $4.07
    10   $4.03     $40.30
  2450   $4.03  $9,873.50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$0.26      $2.58
   100   $0.23     $23.20
  3000   $0.15    $447.00
  4000   $0.13    $524.00
  6000   $0.13    $798.00
  8000   $0.13  $1,064.00
 12000   $0.12  $1,452.00
 18000   $0.11  $2,034.00
 30000   $0.10  $3,150.00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£0.20    £800.00
  8000   £0.18  £1,440.00
 24000   £0.10  £2,304.00
 48000   £0.09  £4,224.00
100000   £0.08  £8,500.00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£3.78
   100   £0.13     £13.10
   500   £0.11     £57.24
  2000   £0.11    £213.72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$0.66      $6.60
    50   $0.56     $28.00
   100   $0.52     $52.20
  1000   $0.52    $522.00
 10000   $0.52  $5,220.00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£0.61      £0.61
    10   £0.57      £5.70
    25   £0.51     £12.75
   100   £0.46     £46.00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<sst xmlns="http://schemas.openxmlformats.org/spreadsheetml/2006/main" count="598" uniqueCount="335">
  <si>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</si>
  <si>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</si>
  <si>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</si>
  <si>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</si>
  <si>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</si>
  <si>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</si>
  <si>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</si>
  <si>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</si>
  <si>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</si>
  <si>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</si>
  <si>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</si>
  <si>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</si>
  <si>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</si>
  <si>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</si>
  <si>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</si>
  <si>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</si>
  <si>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</si>
  <si>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</si>
  <si>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C11</t>
  </si>
  <si>
    <t>CAP CER 4.7uF 16V 20% X5R 0603</t>
  </si>
  <si>
    <t>C_0603_1608Metric</t>
  </si>
  <si>
    <t>GRM188R61C475ME11D</t>
  </si>
  <si>
    <t>9V/12V DC DERATED TO 1uF</t>
  </si>
  <si>
    <t>C12,C13</t>
  </si>
  <si>
    <t>10uF</t>
  </si>
  <si>
    <t>CAP TANT 10uF 6.3V 20% 0603</t>
  </si>
  <si>
    <t>Vishay</t>
  </si>
  <si>
    <t>TMCJ0J106MTRF</t>
  </si>
  <si>
    <t>1.65V DC 1.5V AC AUDIO</t>
  </si>
  <si>
    <t>C2,C6,C21</t>
  </si>
  <si>
    <t>CAP CER 1uF 6.3V 20% X6S 0201</t>
  </si>
  <si>
    <t>C_0201_0603Metric</t>
  </si>
  <si>
    <t>GRM033C80J105ME05D</t>
  </si>
  <si>
    <t>1.2V DC</t>
  </si>
  <si>
    <t>C4,C5,C14</t>
  </si>
  <si>
    <t>CAP CER 4.7uF 6.3V 20% X5R 0201</t>
  </si>
  <si>
    <t>GRM035R60J475ME15D</t>
  </si>
  <si>
    <t>3.3V DC DERATED TO 1uF</t>
  </si>
  <si>
    <t>C7-C10,C15-C20,C22,C23</t>
  </si>
  <si>
    <t>0.1uF</t>
  </si>
  <si>
    <t>CAP CER 0.22uF 6.3V 20% X5R 0201</t>
  </si>
  <si>
    <t>GRM033R60J224KE15D</t>
  </si>
  <si>
    <t>C8,C9,C15-C17,C19,C20,C22,C23: 3.3V DC DERATED TO 0.1uF
C10: 1.65V DC VAG DERATED TO 0.1uF
C7,C18: 1.2V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</si>
  <si>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</si>
  <si>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</si>
  <si>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</si>
  <si>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</si>
  <si>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</si>
  <si>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</si>
  <si>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</si>
  <si>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</si>
  <si>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</si>
  <si>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</si>
  <si>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</si>
  <si>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</si>
  <si>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</si>
  <si>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</si>
  <si>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</t>
  </si>
  <si>
    <t>Conn_01x01</t>
  </si>
  <si>
    <t>CONN HEADER 1 POS .100" SGL GOLD MATING 5.84mm TAIL 3.05mm</t>
  </si>
  <si>
    <t>PinHeader_1x01_P2.54mm_Vertical</t>
  </si>
  <si>
    <t>Sullins</t>
  </si>
  <si>
    <t>PRPC001SAAN-RC</t>
  </si>
  <si>
    <t>J2</t>
  </si>
  <si>
    <t>Conn_01x05</t>
  </si>
  <si>
    <t>CONN HEADER 5 POS .100" SGL GOLD MATING 5.84mm TAIL 3.05mm</t>
  </si>
  <si>
    <t>PinHeader_1x05_P2.54mm_Vertical</t>
  </si>
  <si>
    <t>PRPC005SAAN-RC</t>
  </si>
  <si>
    <t>J3</t>
  </si>
  <si>
    <t>Conn_01x14</t>
  </si>
  <si>
    <t>CONN HEADER 14 POS .100" SGL GOLD MATING 5.84mm TAIL 3.05mm</t>
  </si>
  <si>
    <t>PinHeader_1x14_P2.54mm_Vertical</t>
  </si>
  <si>
    <t>PRPC014SAAN-RC</t>
  </si>
  <si>
    <t>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</si>
  <si>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</si>
  <si>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</si>
  <si>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</si>
  <si>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</si>
  <si>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</si>
  <si>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</si>
  <si>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</si>
  <si>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</si>
  <si>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</si>
  <si>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PIN-IN-PASTE, paste overprinting included in design</t>
  </si>
  <si>
    <t>R1,R2,R11</t>
  </si>
  <si>
    <t>2.2k</t>
  </si>
  <si>
    <t>RES 2.2kΩ 50mW 5% 0201</t>
  </si>
  <si>
    <t>R_0201_0603Metric</t>
  </si>
  <si>
    <t>Panasonic</t>
  </si>
  <si>
    <t>ERJ-1GNJ222C</t>
  </si>
  <si>
    <t>R14,R15</t>
  </si>
  <si>
    <t>0</t>
  </si>
  <si>
    <t>RES 0Ω 50mW 1% 0201</t>
  </si>
  <si>
    <t>ERJ-1GN0R00C</t>
  </si>
  <si>
    <t>R16</t>
  </si>
  <si>
    <t>22</t>
  </si>
  <si>
    <t>RES 22Ω 50mW 5% 0201</t>
  </si>
  <si>
    <t>ERJ-1GNJ220C</t>
  </si>
  <si>
    <t>R3,R5</t>
  </si>
  <si>
    <t>10k</t>
  </si>
  <si>
    <t>RES 10kΩ 50mW 1% 0201</t>
  </si>
  <si>
    <t>ERJ-1GNF1002C</t>
  </si>
  <si>
    <t>R4,R10</t>
  </si>
  <si>
    <t>1.5k</t>
  </si>
  <si>
    <t>RES 1.5kΩ 50mW 5% 0201</t>
  </si>
  <si>
    <t>ERJ-1GNJ152C</t>
  </si>
  <si>
    <t>R6,R7</t>
  </si>
  <si>
    <t>5.1k</t>
  </si>
  <si>
    <t>RES 5.1kΩ 50mW 5% 0201</t>
  </si>
  <si>
    <t>ERJ-1GNJ512C</t>
  </si>
  <si>
    <t>R8</t>
  </si>
  <si>
    <t>100</t>
  </si>
  <si>
    <t>RES 100Ω 50mW 5% 0201</t>
  </si>
  <si>
    <t>ERJ-1GNJ101C</t>
  </si>
  <si>
    <t>R9,R12,R13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</si>
  <si>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</si>
  <si>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</si>
  <si>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</si>
  <si>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</si>
  <si>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</si>
  <si>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</si>
  <si>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</si>
  <si>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</si>
  <si>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</si>
  <si>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</si>
  <si>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</si>
  <si>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 Semiconductor</t>
  </si>
  <si>
    <t>U10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</si>
  <si>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</si>
  <si>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</si>
  <si>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</si>
  <si>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</si>
  <si>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</si>
  <si>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</si>
  <si>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</si>
  <si>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</si>
  <si>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SN74CBTD16211DGVR</t>
  </si>
  <si>
    <t>IC BUS SWITCH WITH LEVEL SHIFTER TVSOP-56</t>
  </si>
  <si>
    <t>Texas_TVSOP-56_4.4x11.3mm_P0.4mm</t>
  </si>
  <si>
    <t>TI</t>
  </si>
  <si>
    <t>U5</t>
  </si>
  <si>
    <t>SGTL5000XNLA3</t>
  </si>
  <si>
    <t>IC AUDIO CODEC UQFN-20</t>
  </si>
  <si>
    <t>QFN-20-1EP_3x3mm_P0.4mm_EP1.65x1.65mm</t>
  </si>
  <si>
    <t>NXP</t>
  </si>
  <si>
    <t>ALTERNATIVE PART #: SGTL5000XNLA3R2</t>
  </si>
  <si>
    <t>U6</t>
  </si>
  <si>
    <t>NUF2042XV6</t>
  </si>
  <si>
    <t>IC USB TERMINATOR ESD PROTECTION SOT-563</t>
  </si>
  <si>
    <t>CASE_463A_1.6x1.2mm_P0.5mm</t>
  </si>
  <si>
    <t>NUF2042XV6T1G</t>
  </si>
  <si>
    <t>U7</t>
  </si>
  <si>
    <t>MCP6H01T-E/OT</t>
  </si>
  <si>
    <t>IC OPAMP SOT-23-5</t>
  </si>
  <si>
    <t>SOT-23-5</t>
  </si>
  <si>
    <t>Microchip</t>
  </si>
  <si>
    <t>U8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</si>
  <si>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</si>
  <si>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</si>
  <si>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</si>
  <si>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</si>
  <si>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</si>
  <si>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U9</t>
  </si>
  <si>
    <t>W25Q128JVPIM</t>
  </si>
  <si>
    <t>IC FLASH 128Mbit WSON-8</t>
  </si>
  <si>
    <t>WSON-8-1EP_6x5mm_P1.27mm_EP3.4x4.3mm</t>
  </si>
  <si>
    <t>Winbond</t>
  </si>
  <si>
    <t>ALTERNATIVE PART #: W25Q128JVPIM TR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</si>
  <si>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</si>
  <si>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</si>
  <si>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</si>
  <si>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</si>
  <si>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</si>
  <si>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</si>
  <si>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</si>
  <si>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</si>
  <si>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</si>
  <si>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</si>
  <si>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</si>
  <si>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</si>
  <si>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</si>
  <si>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</si>
  <si>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</si>
  <si>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ma. 16. aug. 2021 kl. 21.25 +0200</t>
  </si>
  <si>
    <t>Board Qty:</t>
  </si>
  <si>
    <t>Total Cost:</t>
  </si>
  <si>
    <t>Unit Cost:</t>
  </si>
  <si>
    <t>$ date:</t>
  </si>
  <si>
    <t>2021-08-16 21:25:18</t>
  </si>
  <si>
    <t>Arrow</t>
  </si>
  <si>
    <t>Avail</t>
  </si>
  <si>
    <t>Purch</t>
  </si>
  <si>
    <t>Cat#</t>
  </si>
  <si>
    <t>Buy here</t>
  </si>
  <si>
    <t>Digi-Key</t>
  </si>
  <si>
    <t>490-14595-1-ND</t>
  </si>
  <si>
    <t>490-14638-1-ND</t>
  </si>
  <si>
    <t>NonStk</t>
  </si>
  <si>
    <t>718-2355-1-ND</t>
  </si>
  <si>
    <t>490-13218-1-ND</t>
  </si>
  <si>
    <t>490-13230-1-ND</t>
  </si>
  <si>
    <t>490-10406-1-ND</t>
  </si>
  <si>
    <t>1727-1084-1-ND</t>
  </si>
  <si>
    <t>67-2283-1-ND</t>
  </si>
  <si>
    <t>67-2282-1-ND</t>
  </si>
  <si>
    <t>S1011EC-01-ND</t>
  </si>
  <si>
    <t>S1011EC-05-ND</t>
  </si>
  <si>
    <t>S1011EC-14-ND</t>
  </si>
  <si>
    <t>S1011EC-10-ND</t>
  </si>
  <si>
    <t>P123277CT-ND</t>
  </si>
  <si>
    <t>P15979CT-ND</t>
  </si>
  <si>
    <t>P123275CT-ND</t>
  </si>
  <si>
    <t>P122414CT-ND</t>
  </si>
  <si>
    <t>P123246CT-ND</t>
  </si>
  <si>
    <t>P123340CT-ND</t>
  </si>
  <si>
    <t>P123220CT-ND</t>
  </si>
  <si>
    <t>P123222CT-ND</t>
  </si>
  <si>
    <t>CKN10779CT-ND</t>
  </si>
  <si>
    <t>NCP115AMX120TCGOSCT-ND</t>
  </si>
  <si>
    <t>220-2212-1-ND</t>
  </si>
  <si>
    <t>NCP167AMX330TBGOSCT-ND</t>
  </si>
  <si>
    <t>296-6475-2-ND</t>
  </si>
  <si>
    <t>SGTL5000XNLA3-ND</t>
  </si>
  <si>
    <t>NUF2042XV6T1GOSCT-ND</t>
  </si>
  <si>
    <t>MCP6H01T-E/OTCT-ND</t>
  </si>
  <si>
    <t>W25Q128JVPIM-ND</t>
  </si>
  <si>
    <t>535-12073-1-ND</t>
  </si>
  <si>
    <t>Farnell</t>
  </si>
  <si>
    <t>3581345</t>
  </si>
  <si>
    <t>3581379</t>
  </si>
  <si>
    <t>2491414</t>
  </si>
  <si>
    <t>3582762</t>
  </si>
  <si>
    <t>3238402</t>
  </si>
  <si>
    <t>2990684</t>
  </si>
  <si>
    <t>2191801</t>
  </si>
  <si>
    <t>2775247</t>
  </si>
  <si>
    <t>2775246</t>
  </si>
  <si>
    <t>3303211</t>
  </si>
  <si>
    <t>2799511</t>
  </si>
  <si>
    <t>3303209</t>
  </si>
  <si>
    <t>2302362</t>
  </si>
  <si>
    <t>3303177</t>
  </si>
  <si>
    <t>3303281</t>
  </si>
  <si>
    <t>3303148</t>
  </si>
  <si>
    <t>3303150</t>
  </si>
  <si>
    <t>3023200</t>
  </si>
  <si>
    <t>3010452</t>
  </si>
  <si>
    <t>3768741</t>
  </si>
  <si>
    <t>2981158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</si>
  <si>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</si>
  <si>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</si>
  <si>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</si>
  <si>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</si>
  <si>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</si>
  <si>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</si>
  <si>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</si>
  <si>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</si>
  <si>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</si>
  <si>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C717002</t>
  </si>
  <si>
    <t>C713500</t>
  </si>
  <si>
    <t>C242159</t>
  </si>
  <si>
    <t>C221822</t>
  </si>
  <si>
    <t>C2683750</t>
  </si>
  <si>
    <t>Mouser</t>
  </si>
  <si>
    <t>81GRM155C81C225KE1D</t>
  </si>
  <si>
    <t>81GRM188R61C475ME1D</t>
  </si>
  <si>
    <t>74TMCJ0J106MTRF</t>
  </si>
  <si>
    <t>81GRM033C80J105ME5D</t>
  </si>
  <si>
    <t>81GRM035R60J475ME5D</t>
  </si>
  <si>
    <t>81GRM33R60J224KE15D</t>
  </si>
  <si>
    <t>771PMEG2010BELD,315</t>
  </si>
  <si>
    <t>696SMLLX0201USBCTR</t>
  </si>
  <si>
    <t>696SMLLX0201UPGCTR</t>
  </si>
  <si>
    <t>667ERJ1GNJ222C</t>
  </si>
  <si>
    <t>667ERJ1GN0R00C</t>
  </si>
  <si>
    <t>667ERJ1GNJ220C</t>
  </si>
  <si>
    <t>667ERJ1GNF1002C</t>
  </si>
  <si>
    <t>667ERJ1GNJ152C</t>
  </si>
  <si>
    <t>667ERJ1GNJ512C</t>
  </si>
  <si>
    <t>667ERJ1GNJ101C</t>
  </si>
  <si>
    <t>667ERJ1GNJ103C</t>
  </si>
  <si>
    <t>611KXT331LHS</t>
  </si>
  <si>
    <t>863NCP115AMX120TCG</t>
  </si>
  <si>
    <t>842ICE40UP5KSG48I</t>
  </si>
  <si>
    <t>863NCP167AMX330TBG</t>
  </si>
  <si>
    <t>59574CBTD16211DGVR</t>
  </si>
  <si>
    <t>841SGTL5000XNLA3</t>
  </si>
  <si>
    <t>863NUF2042XV6T1G</t>
  </si>
  <si>
    <t>579MCP6H01TE/OT</t>
  </si>
  <si>
    <t>815ASCO24EKT3</t>
  </si>
  <si>
    <t>Newark</t>
  </si>
  <si>
    <t>92AH5000</t>
  </si>
  <si>
    <t>92AH5109</t>
  </si>
  <si>
    <t>56Y0084</t>
  </si>
  <si>
    <t>03AJ1531</t>
  </si>
  <si>
    <t>34AH0743</t>
  </si>
  <si>
    <t>94AC8892</t>
  </si>
  <si>
    <t>55W4407</t>
  </si>
  <si>
    <t>30AC6125</t>
  </si>
  <si>
    <t>30AC6124</t>
  </si>
  <si>
    <t>51W5827</t>
  </si>
  <si>
    <t>51W5934</t>
  </si>
  <si>
    <t>51W5825</t>
  </si>
  <si>
    <t>05X8796</t>
  </si>
  <si>
    <t>51W5799</t>
  </si>
  <si>
    <t>51W5889</t>
  </si>
  <si>
    <t>51W5773</t>
  </si>
  <si>
    <t>23AC4811</t>
  </si>
  <si>
    <t>35AH1369</t>
  </si>
  <si>
    <t>97AC7838</t>
  </si>
  <si>
    <t>50AJ3298</t>
  </si>
  <si>
    <t>84AC7230</t>
  </si>
  <si>
    <t>14R9111</t>
  </si>
  <si>
    <t>46AC1428</t>
  </si>
  <si>
    <t>55AC2730</t>
  </si>
  <si>
    <t>89AH0815</t>
  </si>
  <si>
    <t>RS Components</t>
  </si>
  <si>
    <t>1882240</t>
  </si>
  <si>
    <t>1852023</t>
  </si>
  <si>
    <t>1797128</t>
  </si>
  <si>
    <t>1763574</t>
  </si>
  <si>
    <t>1763597</t>
  </si>
  <si>
    <t>1797145</t>
  </si>
  <si>
    <t>1797129</t>
  </si>
  <si>
    <t>1797135</t>
  </si>
  <si>
    <t>1861527</t>
  </si>
  <si>
    <t>1859325</t>
  </si>
  <si>
    <t>8051879</t>
  </si>
  <si>
    <t>1773191</t>
  </si>
  <si>
    <t>TME</t>
  </si>
  <si>
    <t>SMLLX0201USBCTR</t>
  </si>
  <si>
    <t>SMLLX0201UPGCTR</t>
  </si>
  <si>
    <t>KXT331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</si>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</sst>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cdb919&amp;sid=2401&amp;ppid=46692789&amp;vpid=230758256&amp;ct=offers" TargetMode="External"/><Relationship Id="rId5" Type="http://schemas.openxmlformats.org/officeDocument/2006/relationships/hyperlink" Target="https://octopart.com/click/track?ai=8078&amp;sig=0849c23&amp;sid=2402&amp;ppid=46692789&amp;vpid=669036303&amp;ct=offers" TargetMode="External"/><Relationship Id="rId6" Type="http://schemas.openxmlformats.org/officeDocument/2006/relationships/hyperlink" Target="https://www.murata.com/products/productdetail.aspx?partno=GRM188R61C475ME11D" TargetMode="External"/><Relationship Id="rId7" Type="http://schemas.openxmlformats.org/officeDocument/2006/relationships/hyperlink" Target="https://octopart.com/click/track?c=1&amp;ai=8078&amp;sig=0445c4b&amp;sid=459&amp;ppid=46693351&amp;vpid=410305374&amp;ct=offers" TargetMode="External"/><Relationship Id="rId8" Type="http://schemas.openxmlformats.org/officeDocument/2006/relationships/hyperlink" Target="https://octopart.com/click/track?ai=8078&amp;sig=0e88e51&amp;sid=11744&amp;ppid=46693351&amp;vpid=667012264&amp;ct=offers" TargetMode="External"/><Relationship Id="rId9" Type="http://schemas.openxmlformats.org/officeDocument/2006/relationships/hyperlink" Target="https://octopart.com/click/track?ai=8078&amp;sig=09b8947&amp;sid=27971&amp;ppid=46693351&amp;vpid=583025469&amp;ct=offers" TargetMode="External"/><Relationship Id="rId10" Type="http://schemas.openxmlformats.org/officeDocument/2006/relationships/hyperlink" Target="https://octopart.com/click/track?ai=8078&amp;sig=0769423&amp;sid=2401&amp;ppid=46693351&amp;vpid=238592031&amp;ct=offers" TargetMode="External"/><Relationship Id="rId11" Type="http://schemas.openxmlformats.org/officeDocument/2006/relationships/hyperlink" Target="https://octopart.com/click/track?ai=8078&amp;sig=07b4992&amp;sid=2402&amp;ppid=46693351&amp;vpid=669036411&amp;ct=offers" TargetMode="External"/><Relationship Id="rId12" Type="http://schemas.openxmlformats.org/officeDocument/2006/relationships/hyperlink" Target="https://www.vishay.com/docs/40176/tmcj.pdf" TargetMode="External"/><Relationship Id="rId13" Type="http://schemas.openxmlformats.org/officeDocument/2006/relationships/hyperlink" Target="https://octopart.com/click/track?c=1&amp;ai=8078&amp;sig=0f93a07&amp;sid=459&amp;ppid=51468669&amp;vpid=542012103&amp;ct=offers" TargetMode="External"/><Relationship Id="rId14" Type="http://schemas.openxmlformats.org/officeDocument/2006/relationships/hyperlink" Target="https://octopart.com/click/track?c=1&amp;ai=8078&amp;sig=0142d8e&amp;sid=819&amp;ppid=51468669&amp;vpid=227400135&amp;ct=offers" TargetMode="External"/><Relationship Id="rId15" Type="http://schemas.openxmlformats.org/officeDocument/2006/relationships/hyperlink" Target="https://octopart.com/click/track?ai=8078&amp;sig=043ec4f&amp;sid=2401&amp;ppid=51468669&amp;vpid=222364962&amp;ct=offers" TargetMode="External"/><Relationship Id="rId16" Type="http://schemas.openxmlformats.org/officeDocument/2006/relationships/hyperlink" Target="https://octopart.com/click/track?c=1&amp;ai=8078&amp;sig=01aab72&amp;sid=2402&amp;ppid=51468669&amp;vpid=228374112&amp;ct=offers" TargetMode="External"/><Relationship Id="rId17" Type="http://schemas.openxmlformats.org/officeDocument/2006/relationships/hyperlink" Target="https://octopart.com/click/track?ai=8078&amp;sig=074f439&amp;sid=10022&amp;ppid=51468669&amp;vpid=562995447&amp;ct=offers" TargetMode="External"/><Relationship Id="rId18" Type="http://schemas.openxmlformats.org/officeDocument/2006/relationships/hyperlink" Target="https://www.murata.com/products/productdetail.aspx?partno=GRM033C80J105ME05D" TargetMode="External"/><Relationship Id="rId19" Type="http://schemas.openxmlformats.org/officeDocument/2006/relationships/hyperlink" Target="https://octopart.com/click/track?ai=8078&amp;sig=0dd2dd5&amp;sid=459&amp;ppid=71220979&amp;vpid=252726184&amp;ct=offers" TargetMode="External"/><Relationship Id="rId20" Type="http://schemas.openxmlformats.org/officeDocument/2006/relationships/hyperlink" Target="https://octopart.com/click/track?c=1&amp;ai=8078&amp;sig=013a2f0&amp;sid=819&amp;ppid=71220979&amp;vpid=670691828&amp;ct=offers" TargetMode="External"/><Relationship Id="rId21" Type="http://schemas.openxmlformats.org/officeDocument/2006/relationships/hyperlink" Target="https://octopart.com/click/track?c=1&amp;ai=8078&amp;sig=0ba034f&amp;sid=2401&amp;ppid=71220979&amp;vpid=262231651&amp;ct=offers" TargetMode="External"/><Relationship Id="rId22" Type="http://schemas.openxmlformats.org/officeDocument/2006/relationships/hyperlink" Target="https://octopart.com/click/track?c=1&amp;ai=8078&amp;sig=0e14f17&amp;sid=2402&amp;ppid=71220979&amp;vpid=671481163&amp;ct=offers" TargetMode="External"/><Relationship Id="rId23" Type="http://schemas.openxmlformats.org/officeDocument/2006/relationships/hyperlink" Target="https://www.murata.com/products/productdetail.aspx?partno=GRM035R60J475ME15D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87aedd&amp;sid=11744&amp;ppid=67141176&amp;vpid=585909672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ai=8078&amp;sig=02cfcbc&amp;sid=2402&amp;ppid=67141176&amp;vpid=5879667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0c315f&amp;sid=11744&amp;ppid=51454422&amp;vpid=52808447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PMEG2010BELD.pdf" TargetMode="External"/><Relationship Id="rId37" Type="http://schemas.openxmlformats.org/officeDocument/2006/relationships/hyperlink" Target="https://octopart.com/click/track?ai=8078&amp;sig=05f022d&amp;sid=459&amp;ppid=78741408&amp;vpid=417205872&amp;ct=offers" TargetMode="External"/><Relationship Id="rId38" Type="http://schemas.openxmlformats.org/officeDocument/2006/relationships/hyperlink" Target="https://octopart.com/click/track?c=1&amp;ai=8078&amp;sig=0ee080b&amp;sid=819&amp;ppid=78741408&amp;vpid=521253387&amp;ct=offers" TargetMode="External"/><Relationship Id="rId39" Type="http://schemas.openxmlformats.org/officeDocument/2006/relationships/hyperlink" Target="https://octopart.com/click/track?ai=8078&amp;sig=077655c&amp;sid=2401&amp;ppid=78741408&amp;vpid=416182007&amp;ct=offers" TargetMode="External"/><Relationship Id="rId40" Type="http://schemas.openxmlformats.org/officeDocument/2006/relationships/hyperlink" Target="https://octopart.com/click/track?c=1&amp;ai=8078&amp;sig=03a6e2e&amp;sid=2402&amp;ppid=78741408&amp;vpid=511382518&amp;ct=offers" TargetMode="External"/><Relationship Id="rId41" Type="http://schemas.openxmlformats.org/officeDocument/2006/relationships/hyperlink" Target="https://www.lumex.com/datasheet/SML-LX0201USBC-TR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ai=8078&amp;sig=0ff9f3f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ai=8078&amp;sig=0a83003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www.lumex.com/datasheet/SML-LX0201UPGC-TR" TargetMode="External"/><Relationship Id="rId48" Type="http://schemas.openxmlformats.org/officeDocument/2006/relationships/hyperlink" Target="https://octopart.com/click/track?ai=8078&amp;sig=055564d&amp;sid=459&amp;ppid=84788743&amp;vpid=439727363&amp;ct=offers" TargetMode="External"/><Relationship Id="rId49" Type="http://schemas.openxmlformats.org/officeDocument/2006/relationships/hyperlink" Target="https://octopart.com/click/track?ai=8078&amp;sig=0fcbf2b&amp;sid=819&amp;ppid=84788743&amp;vpid=441301075&amp;ct=offers" TargetMode="External"/><Relationship Id="rId50" Type="http://schemas.openxmlformats.org/officeDocument/2006/relationships/hyperlink" Target="https://octopart.com/click/track?ai=8078&amp;sig=0bea5b7&amp;sid=2401&amp;ppid=84788743&amp;vpid=440311375&amp;ct=offers" TargetMode="External"/><Relationship Id="rId51" Type="http://schemas.openxmlformats.org/officeDocument/2006/relationships/hyperlink" Target="https://octopart.com/click/track?ai=8078&amp;sig=00c45d4&amp;sid=2402&amp;ppid=84788743&amp;vpid=441141494&amp;ct=offers" TargetMode="External"/><Relationship Id="rId52" Type="http://schemas.openxmlformats.org/officeDocument/2006/relationships/hyperlink" Target="https://octopart.com/click/track?ai=8078&amp;sig=0371ed3&amp;sid=1532&amp;ppid=84788743&amp;vpid=709065379&amp;ct=offers" TargetMode="External"/><Relationship Id="rId53" Type="http://schemas.openxmlformats.org/officeDocument/2006/relationships/hyperlink" Target="https://drawings-pdf.s3.amazonaws.com/11635.pdf" TargetMode="External"/><Relationship Id="rId54" Type="http://schemas.openxmlformats.org/officeDocument/2006/relationships/hyperlink" Target="https://octopart.com/click/track?c=1&amp;ai=8078&amp;sig=00e1b60&amp;sid=459&amp;ppid=22265573&amp;vpid=47550559&amp;ct=offers" TargetMode="External"/><Relationship Id="rId55" Type="http://schemas.openxmlformats.org/officeDocument/2006/relationships/hyperlink" Target="https://drawings-pdf.s3.amazonaws.com/11635.pdf" TargetMode="External"/><Relationship Id="rId56" Type="http://schemas.openxmlformats.org/officeDocument/2006/relationships/hyperlink" Target="https://octopart.com/click/track?c=1&amp;ai=8078&amp;sig=03bd489&amp;sid=459&amp;ppid=22265629&amp;vpid=47550615&amp;ct=offers" TargetMode="External"/><Relationship Id="rId57" Type="http://schemas.openxmlformats.org/officeDocument/2006/relationships/hyperlink" Target="https://drawings-pdf.s3.amazonaws.com/11635.pdf" TargetMode="External"/><Relationship Id="rId58" Type="http://schemas.openxmlformats.org/officeDocument/2006/relationships/hyperlink" Target="https://octopart.com/click/track?c=1&amp;ai=8078&amp;sig=093bf70&amp;sid=459&amp;ppid=22265755&amp;vpid=47550741&amp;ct=offers" TargetMode="External"/><Relationship Id="rId59" Type="http://schemas.openxmlformats.org/officeDocument/2006/relationships/hyperlink" Target="https://drawings-pdf.s3.amazonaws.com/11635.pdf" TargetMode="External"/><Relationship Id="rId60" Type="http://schemas.openxmlformats.org/officeDocument/2006/relationships/hyperlink" Target="https://octopart.com/click/track?c=1&amp;ai=8078&amp;sig=02f1022&amp;sid=459&amp;ppid=22265699&amp;vpid=47550685&amp;ct=offers" TargetMode="External"/><Relationship Id="rId61" Type="http://schemas.openxmlformats.org/officeDocument/2006/relationships/hyperlink" Target="http://www.krhro.com/uploads/soft/180320/1-1P320120243.pdf" TargetMode="External"/><Relationship Id="rId62" Type="http://schemas.openxmlformats.org/officeDocument/2006/relationships/hyperlink" Target="https://octopart.com/click/track?ai=8078&amp;sig=0bf3cd2&amp;sid=27971&amp;ppid=99357592&amp;vpid=531406307&amp;ct=offers" TargetMode="External"/><Relationship Id="rId63" Type="http://schemas.openxmlformats.org/officeDocument/2006/relationships/hyperlink" Target="https://industrial.panasonic.com/ww/products/pt/general-purpose-chip-resistors/models/ERJ1GNJ222C" TargetMode="External"/><Relationship Id="rId64" Type="http://schemas.openxmlformats.org/officeDocument/2006/relationships/hyperlink" Target="https://octopart.com/click/track?ai=8078&amp;sig=0fe0904&amp;sid=459&amp;ppid=44403350&amp;vpid=465235292&amp;ct=offers" TargetMode="External"/><Relationship Id="rId65" Type="http://schemas.openxmlformats.org/officeDocument/2006/relationships/hyperlink" Target="https://octopart.com/click/track?c=1&amp;ai=8078&amp;sig=098df08&amp;sid=819&amp;ppid=44403350&amp;vpid=603690887&amp;ct=offers" TargetMode="External"/><Relationship Id="rId66" Type="http://schemas.openxmlformats.org/officeDocument/2006/relationships/hyperlink" Target="https://octopart.com/click/track?ai=8078&amp;sig=07d1d1b&amp;sid=2401&amp;ppid=44403350&amp;vpid=248150297&amp;ct=offers" TargetMode="External"/><Relationship Id="rId67" Type="http://schemas.openxmlformats.org/officeDocument/2006/relationships/hyperlink" Target="https://octopart.com/click/track?c=1&amp;ai=8078&amp;sig=01bc52e&amp;sid=2402&amp;ppid=44403350&amp;vpid=632042349&amp;ct=offers" TargetMode="External"/><Relationship Id="rId68" Type="http://schemas.openxmlformats.org/officeDocument/2006/relationships/hyperlink" Target="https://octopart.com/click/track?ai=8078&amp;sig=0a098df&amp;sid=10022&amp;ppid=44403350&amp;vpid=577025041&amp;ct=offers" TargetMode="External"/><Relationship Id="rId69" Type="http://schemas.openxmlformats.org/officeDocument/2006/relationships/hyperlink" Target="https://industrial.panasonic.com/ww/products/pt/general-purpose-chip-resistors/models/ERJ1GN0R00C" TargetMode="External"/><Relationship Id="rId70" Type="http://schemas.openxmlformats.org/officeDocument/2006/relationships/hyperlink" Target="https://octopart.com/click/track?c=1&amp;ai=8078&amp;sig=0d55330&amp;sid=459&amp;ppid=16432844&amp;vpid=73994004&amp;ct=offers" TargetMode="External"/><Relationship Id="rId71" Type="http://schemas.openxmlformats.org/officeDocument/2006/relationships/hyperlink" Target="https://octopart.com/click/track?c=1&amp;ai=8078&amp;sig=0993eba&amp;sid=11744&amp;ppid=16432844&amp;vpid=709673718&amp;ct=offers" TargetMode="External"/><Relationship Id="rId72" Type="http://schemas.openxmlformats.org/officeDocument/2006/relationships/hyperlink" Target="https://octopart.com/click/track?c=1&amp;ai=8078&amp;sig=09308bd&amp;sid=2401&amp;ppid=16432844&amp;vpid=41840075&amp;ct=offers" TargetMode="External"/><Relationship Id="rId73" Type="http://schemas.openxmlformats.org/officeDocument/2006/relationships/hyperlink" Target="https://octopart.com/click/track?ai=8078&amp;sig=03714c0&amp;sid=2402&amp;ppid=16432844&amp;vpid=87993748&amp;ct=offers" TargetMode="External"/><Relationship Id="rId74" Type="http://schemas.openxmlformats.org/officeDocument/2006/relationships/hyperlink" Target="https://octopart.com/click/track?ai=8078&amp;sig=0514af3&amp;sid=10022&amp;ppid=16432844&amp;vpid=501237969&amp;ct=offers" TargetMode="External"/><Relationship Id="rId75" Type="http://schemas.openxmlformats.org/officeDocument/2006/relationships/hyperlink" Target="https://industrial.panasonic.com/ww/products/pt/general-purpose-chip-resistors/models/ERJ1GNJ220C" TargetMode="External"/><Relationship Id="rId76" Type="http://schemas.openxmlformats.org/officeDocument/2006/relationships/hyperlink" Target="https://octopart.com/click/track?c=1&amp;ai=8078&amp;sig=04cd504&amp;sid=459&amp;ppid=42505965&amp;vpid=465235288&amp;ct=offers" TargetMode="External"/><Relationship Id="rId77" Type="http://schemas.openxmlformats.org/officeDocument/2006/relationships/hyperlink" Target="https://octopart.com/click/track?c=1&amp;ai=8078&amp;sig=0433a1d&amp;sid=819&amp;ppid=42505965&amp;vpid=603690885&amp;ct=offers" TargetMode="External"/><Relationship Id="rId78" Type="http://schemas.openxmlformats.org/officeDocument/2006/relationships/hyperlink" Target="https://octopart.com/click/track?ai=8078&amp;sig=0d716f6&amp;sid=2401&amp;ppid=42505965&amp;vpid=165486571&amp;ct=offers" TargetMode="External"/><Relationship Id="rId79" Type="http://schemas.openxmlformats.org/officeDocument/2006/relationships/hyperlink" Target="https://octopart.com/click/track?c=1&amp;ai=8078&amp;sig=0965e6c&amp;sid=2402&amp;ppid=42505965&amp;vpid=524371516&amp;ct=offers" TargetMode="External"/><Relationship Id="rId80" Type="http://schemas.openxmlformats.org/officeDocument/2006/relationships/hyperlink" Target="https://industrial.panasonic.com/ww/products/pt/general-purpose-chip-resistors/models/ERJ1GNF1002C" TargetMode="External"/><Relationship Id="rId81" Type="http://schemas.openxmlformats.org/officeDocument/2006/relationships/hyperlink" Target="https://octopart.com/click/track?ai=8078&amp;sig=08a096a&amp;sid=459&amp;ppid=55419697&amp;vpid=436711940&amp;ct=offers" TargetMode="External"/><Relationship Id="rId82" Type="http://schemas.openxmlformats.org/officeDocument/2006/relationships/hyperlink" Target="https://octopart.com/click/track?ai=8078&amp;sig=0f0932e&amp;sid=11744&amp;ppid=55419697&amp;vpid=132575573&amp;ct=offers" TargetMode="External"/><Relationship Id="rId83" Type="http://schemas.openxmlformats.org/officeDocument/2006/relationships/hyperlink" Target="https://octopart.com/click/track?ai=8078&amp;sig=02e7488&amp;sid=27971&amp;ppid=55419697&amp;vpid=669037554&amp;ct=offers" TargetMode="External"/><Relationship Id="rId84" Type="http://schemas.openxmlformats.org/officeDocument/2006/relationships/hyperlink" Target="https://octopart.com/click/track?ai=8078&amp;sig=08e4731&amp;sid=2401&amp;ppid=55419697&amp;vpid=189037115&amp;ct=offers" TargetMode="External"/><Relationship Id="rId85" Type="http://schemas.openxmlformats.org/officeDocument/2006/relationships/hyperlink" Target="https://octopart.com/click/track?ai=8078&amp;sig=0320500&amp;sid=2402&amp;ppid=55419697&amp;vpid=190850887&amp;ct=offers" TargetMode="External"/><Relationship Id="rId86" Type="http://schemas.openxmlformats.org/officeDocument/2006/relationships/hyperlink" Target="https://octopart.com/click/track?ai=8078&amp;sig=0924ec2&amp;sid=10022&amp;ppid=55419697&amp;vpid=501237973&amp;ct=offers" TargetMode="External"/><Relationship Id="rId87" Type="http://schemas.openxmlformats.org/officeDocument/2006/relationships/hyperlink" Target="https://industrial.panasonic.com/ww/products/pt/general-purpose-chip-resistors/models/ERJ1GNJ152C" TargetMode="External"/><Relationship Id="rId88" Type="http://schemas.openxmlformats.org/officeDocument/2006/relationships/hyperlink" Target="https://octopart.com/click/track?ai=8078&amp;sig=06f5537&amp;sid=459&amp;ppid=55940368&amp;vpid=465235230&amp;ct=offers" TargetMode="External"/><Relationship Id="rId89" Type="http://schemas.openxmlformats.org/officeDocument/2006/relationships/hyperlink" Target="https://octopart.com/click/track?c=1&amp;ai=8078&amp;sig=031cc2c&amp;sid=819&amp;ppid=55940368&amp;vpid=603690856&amp;ct=offers" TargetMode="External"/><Relationship Id="rId90" Type="http://schemas.openxmlformats.org/officeDocument/2006/relationships/hyperlink" Target="https://octopart.com/click/track?ai=8078&amp;sig=01a465a&amp;sid=2401&amp;ppid=55940368&amp;vpid=165486557&amp;ct=offers" TargetMode="External"/><Relationship Id="rId91" Type="http://schemas.openxmlformats.org/officeDocument/2006/relationships/hyperlink" Target="https://octopart.com/click/track?c=1&amp;ai=8078&amp;sig=0e5d5c9&amp;sid=2402&amp;ppid=55940368&amp;vpid=192308633&amp;ct=offers" TargetMode="External"/><Relationship Id="rId92" Type="http://schemas.openxmlformats.org/officeDocument/2006/relationships/hyperlink" Target="https://octopart.com/click/track?ai=8078&amp;sig=08f769b&amp;sid=10022&amp;ppid=55940368&amp;vpid=577025035&amp;ct=offers" TargetMode="External"/><Relationship Id="rId93" Type="http://schemas.openxmlformats.org/officeDocument/2006/relationships/hyperlink" Target="https://industrial.panasonic.com/ww/products/pt/general-purpose-chip-resistors/models/ERJ1GNJ512C" TargetMode="External"/><Relationship Id="rId94" Type="http://schemas.openxmlformats.org/officeDocument/2006/relationships/hyperlink" Target="https://octopart.com/click/track?ai=8078&amp;sig=0dd36dc&amp;sid=459&amp;ppid=66942597&amp;vpid=465235418&amp;ct=offers" TargetMode="External"/><Relationship Id="rId95" Type="http://schemas.openxmlformats.org/officeDocument/2006/relationships/hyperlink" Target="https://octopart.com/click/track?c=1&amp;ai=8078&amp;sig=01b939b&amp;sid=819&amp;ppid=66942597&amp;vpid=603690950&amp;ct=offers" TargetMode="External"/><Relationship Id="rId96" Type="http://schemas.openxmlformats.org/officeDocument/2006/relationships/hyperlink" Target="https://octopart.com/click/track?ai=8078&amp;sig=07a33f5&amp;sid=2401&amp;ppid=66942597&amp;vpid=265943161&amp;ct=offers" TargetMode="External"/><Relationship Id="rId97" Type="http://schemas.openxmlformats.org/officeDocument/2006/relationships/hyperlink" Target="https://octopart.com/click/track?c=1&amp;ai=8078&amp;sig=0cb0675&amp;sid=2402&amp;ppid=66942597&amp;vpid=669843420&amp;ct=offers" TargetMode="External"/><Relationship Id="rId98" Type="http://schemas.openxmlformats.org/officeDocument/2006/relationships/hyperlink" Target="https://industrial.panasonic.com/ww/products/pt/general-purpose-chip-resistors/models/ERJ1GNJ101C" TargetMode="External"/><Relationship Id="rId99" Type="http://schemas.openxmlformats.org/officeDocument/2006/relationships/hyperlink" Target="https://octopart.com/click/track?ai=8078&amp;sig=080fecf&amp;sid=459&amp;ppid=44403300&amp;vpid=465235178&amp;ct=offers" TargetMode="External"/><Relationship Id="rId100" Type="http://schemas.openxmlformats.org/officeDocument/2006/relationships/hyperlink" Target="https://octopart.com/click/track?c=1&amp;ai=8078&amp;sig=0b30f5a&amp;sid=819&amp;ppid=44403300&amp;vpid=603690830&amp;ct=offers" TargetMode="External"/><Relationship Id="rId101" Type="http://schemas.openxmlformats.org/officeDocument/2006/relationships/hyperlink" Target="https://octopart.com/click/track?ai=8078&amp;sig=08d00b1&amp;sid=27971&amp;ppid=44403300&amp;vpid=669037577&amp;ct=offers" TargetMode="External"/><Relationship Id="rId102" Type="http://schemas.openxmlformats.org/officeDocument/2006/relationships/hyperlink" Target="https://octopart.com/click/track?ai=8078&amp;sig=0e9f721&amp;sid=2401&amp;ppid=44403300&amp;vpid=165486549&amp;ct=offers" TargetMode="External"/><Relationship Id="rId103" Type="http://schemas.openxmlformats.org/officeDocument/2006/relationships/hyperlink" Target="https://octopart.com/click/track?c=1&amp;ai=8078&amp;sig=0f3777c&amp;sid=2402&amp;ppid=44403300&amp;vpid=166626673&amp;ct=offers" TargetMode="External"/><Relationship Id="rId104" Type="http://schemas.openxmlformats.org/officeDocument/2006/relationships/hyperlink" Target="https://octopart.com/click/track?ai=8078&amp;sig=0e76548&amp;sid=10022&amp;ppid=44403300&amp;vpid=577025029&amp;ct=offers" TargetMode="External"/><Relationship Id="rId105" Type="http://schemas.openxmlformats.org/officeDocument/2006/relationships/hyperlink" Target="https://industrial.panasonic.com/ww/products/pt/general-purpose-chip-resistors/models/ERJ1GNJ103C" TargetMode="External"/><Relationship Id="rId106" Type="http://schemas.openxmlformats.org/officeDocument/2006/relationships/hyperlink" Target="https://octopart.com/click/track?ai=8078&amp;sig=0301d78&amp;sid=459&amp;ppid=44322539&amp;vpid=465235182&amp;ct=offers" TargetMode="External"/><Relationship Id="rId107" Type="http://schemas.openxmlformats.org/officeDocument/2006/relationships/hyperlink" Target="https://octopart.com/click/track?c=1&amp;ai=8078&amp;sig=0fd9335&amp;sid=819&amp;ppid=44322539&amp;vpid=603690832&amp;ct=offers" TargetMode="External"/><Relationship Id="rId108" Type="http://schemas.openxmlformats.org/officeDocument/2006/relationships/hyperlink" Target="https://octopart.com/click/track?ai=8078&amp;sig=06c973b&amp;sid=27971&amp;ppid=44322539&amp;vpid=495511688&amp;ct=offers" TargetMode="External"/><Relationship Id="rId109" Type="http://schemas.openxmlformats.org/officeDocument/2006/relationships/hyperlink" Target="https://octopart.com/click/track?ai=8078&amp;sig=0a64394&amp;sid=2401&amp;ppid=44322539&amp;vpid=120580014&amp;ct=offers" TargetMode="External"/><Relationship Id="rId110" Type="http://schemas.openxmlformats.org/officeDocument/2006/relationships/hyperlink" Target="https://octopart.com/click/track?c=1&amp;ai=8078&amp;sig=07aa8d7&amp;sid=2402&amp;ppid=44322539&amp;vpid=477474193&amp;ct=offers" TargetMode="External"/><Relationship Id="rId111" Type="http://schemas.openxmlformats.org/officeDocument/2006/relationships/hyperlink" Target="https://octopart.com/click/track?ai=8078&amp;sig=0c48158&amp;sid=10022&amp;ppid=44322539&amp;vpid=577025032&amp;ct=offers" TargetMode="External"/><Relationship Id="rId112" Type="http://schemas.openxmlformats.org/officeDocument/2006/relationships/hyperlink" Target="https://www.ckswitches.com/media/1465/kxt3.pdf" TargetMode="External"/><Relationship Id="rId113" Type="http://schemas.openxmlformats.org/officeDocument/2006/relationships/hyperlink" Target="https://octopart.com/click/track?ai=8078&amp;sig=0d4eb4c&amp;sid=459&amp;ppid=81056066&amp;vpid=409558694&amp;ct=offers" TargetMode="External"/><Relationship Id="rId114" Type="http://schemas.openxmlformats.org/officeDocument/2006/relationships/hyperlink" Target="https://octopart.com/click/track?ai=8078&amp;sig=0dffd79&amp;sid=819&amp;ppid=81056066&amp;vpid=573821257&amp;ct=offers" TargetMode="External"/><Relationship Id="rId115" Type="http://schemas.openxmlformats.org/officeDocument/2006/relationships/hyperlink" Target="https://octopart.com/click/track?ai=8078&amp;sig=008adb4&amp;sid=27971&amp;ppid=81056066&amp;vpid=492569844&amp;ct=offers" TargetMode="External"/><Relationship Id="rId116" Type="http://schemas.openxmlformats.org/officeDocument/2006/relationships/hyperlink" Target="https://octopart.com/click/track?ai=8078&amp;sig=025af0b&amp;sid=2401&amp;ppid=81056066&amp;vpid=418675926&amp;ct=offers" TargetMode="External"/><Relationship Id="rId117" Type="http://schemas.openxmlformats.org/officeDocument/2006/relationships/hyperlink" Target="https://octopart.com/click/track?ai=8078&amp;sig=0c8c5a9&amp;sid=2402&amp;ppid=81056066&amp;vpid=587924511&amp;ct=offers" TargetMode="External"/><Relationship Id="rId118" Type="http://schemas.openxmlformats.org/officeDocument/2006/relationships/hyperlink" Target="https://octopart.com/click/track?ai=8078&amp;sig=098c562&amp;sid=1532&amp;ppid=81056066&amp;vpid=707824130&amp;ct=offers" TargetMode="External"/><Relationship Id="rId119" Type="http://schemas.openxmlformats.org/officeDocument/2006/relationships/hyperlink" Target="https://www.onsemi.com/pdf/datasheet/ncp115-d.pdf" TargetMode="External"/><Relationship Id="rId120" Type="http://schemas.openxmlformats.org/officeDocument/2006/relationships/hyperlink" Target="https://octopart.com/click/track?ai=8078&amp;sig=0a3f4b6&amp;sid=459&amp;ppid=92380524&amp;vpid=530205177&amp;ct=offers" TargetMode="External"/><Relationship Id="rId121" Type="http://schemas.openxmlformats.org/officeDocument/2006/relationships/hyperlink" Target="https://octopart.com/click/track?ai=8078&amp;sig=05836ef&amp;sid=819&amp;ppid=92380524&amp;vpid=530799043&amp;ct=offers" TargetMode="External"/><Relationship Id="rId122" Type="http://schemas.openxmlformats.org/officeDocument/2006/relationships/hyperlink" Target="https://octopart.com/click/track?ai=8078&amp;sig=036a8af&amp;sid=2401&amp;ppid=92380524&amp;vpid=523401631&amp;ct=offers" TargetMode="External"/><Relationship Id="rId123" Type="http://schemas.openxmlformats.org/officeDocument/2006/relationships/hyperlink" Target="https://octopart.com/click/track?ai=8078&amp;sig=09fcc50&amp;sid=2402&amp;ppid=92380524&amp;vpid=531928826&amp;ct=offers" TargetMode="External"/><Relationship Id="rId124" Type="http://schemas.openxmlformats.org/officeDocument/2006/relationships/hyperlink" Target="https://octopart.com/click/track?ai=8078&amp;sig=074da9d&amp;sid=10022&amp;ppid=92380524&amp;vpid=562641107&amp;ct=offers" TargetMode="External"/><Relationship Id="rId125" Type="http://schemas.openxmlformats.org/officeDocument/2006/relationships/hyperlink" Target="http://www.latticesemi.com/Products/FPGAandCPLD/iCE40UltraPlus" TargetMode="External"/><Relationship Id="rId126" Type="http://schemas.openxmlformats.org/officeDocument/2006/relationships/hyperlink" Target="https://octopart.com/click/track?c=1&amp;ai=8078&amp;sig=08e94d1&amp;sid=459&amp;ppid=87369311&amp;vpid=495120370&amp;ct=offers" TargetMode="External"/><Relationship Id="rId127" Type="http://schemas.openxmlformats.org/officeDocument/2006/relationships/hyperlink" Target="https://octopart.com/click/track?c=1&amp;ai=8078&amp;sig=046bf45&amp;sid=819&amp;ppid=87369311&amp;vpid=718456045&amp;ct=offers" TargetMode="External"/><Relationship Id="rId128" Type="http://schemas.openxmlformats.org/officeDocument/2006/relationships/hyperlink" Target="https://octopart.com/click/track?ai=8078&amp;sig=00e2810&amp;sid=2401&amp;ppid=87369311&amp;vpid=477152809&amp;ct=offers" TargetMode="External"/><Relationship Id="rId129" Type="http://schemas.openxmlformats.org/officeDocument/2006/relationships/hyperlink" Target="https://octopart.com/click/track?c=1&amp;ai=8078&amp;sig=0c32068&amp;sid=2402&amp;ppid=87369311&amp;vpid=719396471&amp;ct=offers" TargetMode="External"/><Relationship Id="rId130" Type="http://schemas.openxmlformats.org/officeDocument/2006/relationships/hyperlink" Target="https://www.onsemi.com/pub/Collateral/NCP167-D.PDF" TargetMode="External"/><Relationship Id="rId131" Type="http://schemas.openxmlformats.org/officeDocument/2006/relationships/hyperlink" Target="https://octopart.com/click/track?c=1&amp;ai=8078&amp;sig=0d6401e&amp;sid=459&amp;ppid=85869721&amp;vpid=510801591&amp;ct=offers" TargetMode="External"/><Relationship Id="rId132" Type="http://schemas.openxmlformats.org/officeDocument/2006/relationships/hyperlink" Target="https://octopart.com/click/track?c=1&amp;ai=8078&amp;sig=0793e3e&amp;sid=819&amp;ppid=85869721&amp;vpid=521259823&amp;ct=offers" TargetMode="External"/><Relationship Id="rId133" Type="http://schemas.openxmlformats.org/officeDocument/2006/relationships/hyperlink" Target="https://octopart.com/click/track?ai=8078&amp;sig=093fed6&amp;sid=2401&amp;ppid=85869721&amp;vpid=480971673&amp;ct=offers" TargetMode="External"/><Relationship Id="rId134" Type="http://schemas.openxmlformats.org/officeDocument/2006/relationships/hyperlink" Target="https://octopart.com/click/track?c=1&amp;ai=8078&amp;sig=0620216&amp;sid=2402&amp;ppid=85869721&amp;vpid=530859240&amp;ct=offers" TargetMode="External"/><Relationship Id="rId135" Type="http://schemas.openxmlformats.org/officeDocument/2006/relationships/hyperlink" Target="https://octopart.com/click/track?ai=8078&amp;sig=0d86e14&amp;sid=10022&amp;ppid=85869721&amp;vpid=562641330&amp;ct=offers" TargetMode="External"/><Relationship Id="rId136" Type="http://schemas.openxmlformats.org/officeDocument/2006/relationships/hyperlink" Target="https://www.ti.com/lit/ds/symlink/sn74cbtd16211.pdf" TargetMode="External"/><Relationship Id="rId137" Type="http://schemas.openxmlformats.org/officeDocument/2006/relationships/hyperlink" Target="https://octopart.com/click/track?c=1&amp;ai=8078&amp;sig=0aac5c3&amp;sid=459&amp;ppid=472676&amp;vpid=1588405&amp;ct=offers" TargetMode="External"/><Relationship Id="rId138" Type="http://schemas.openxmlformats.org/officeDocument/2006/relationships/hyperlink" Target="https://octopart.com/click/track?ai=8078&amp;sig=0221cb4&amp;sid=27971&amp;ppid=472676&amp;vpid=696942338&amp;ct=offers" TargetMode="External"/><Relationship Id="rId139" Type="http://schemas.openxmlformats.org/officeDocument/2006/relationships/hyperlink" Target="https://octopart.com/click/track?ai=8078&amp;sig=0681b00&amp;sid=2401&amp;ppid=472676&amp;vpid=46887142&amp;ct=offers" TargetMode="External"/><Relationship Id="rId140" Type="http://schemas.openxmlformats.org/officeDocument/2006/relationships/hyperlink" Target="https://www.nxp.com/docs/en/data-sheet/SGTL5000.pdf" TargetMode="External"/><Relationship Id="rId141" Type="http://schemas.openxmlformats.org/officeDocument/2006/relationships/hyperlink" Target="https://octopart.com/click/track?c=1&amp;ai=8078&amp;sig=0e67bb5&amp;sid=459&amp;ppid=70302733&amp;vpid=248305906&amp;ct=offers" TargetMode="External"/><Relationship Id="rId142" Type="http://schemas.openxmlformats.org/officeDocument/2006/relationships/hyperlink" Target="https://octopart.com/click/track?c=1&amp;ai=8078&amp;sig=0d698c2&amp;sid=11744&amp;ppid=70302733&amp;vpid=247788338&amp;ct=offers" TargetMode="External"/><Relationship Id="rId143" Type="http://schemas.openxmlformats.org/officeDocument/2006/relationships/hyperlink" Target="https://octopart.com/click/track?c=1&amp;ai=8078&amp;sig=047f522&amp;sid=2401&amp;ppid=70302733&amp;vpid=251555959&amp;ct=offers" TargetMode="External"/><Relationship Id="rId144" Type="http://schemas.openxmlformats.org/officeDocument/2006/relationships/hyperlink" Target="https://octopart.com/click/track?c=1&amp;ai=8078&amp;sig=00417c4&amp;sid=2402&amp;ppid=70302733&amp;vpid=270421497&amp;ct=offers" TargetMode="External"/><Relationship Id="rId145" Type="http://schemas.openxmlformats.org/officeDocument/2006/relationships/hyperlink" Target="https://www.onsemi.com/pub/Collateral/NUF2030XV6-D.PDF" TargetMode="External"/><Relationship Id="rId146" Type="http://schemas.openxmlformats.org/officeDocument/2006/relationships/hyperlink" Target="https://octopart.com/click/track?c=1&amp;ai=8078&amp;sig=08ab043&amp;sid=459&amp;ppid=1432420&amp;vpid=34063078&amp;ct=offers" TargetMode="External"/><Relationship Id="rId147" Type="http://schemas.openxmlformats.org/officeDocument/2006/relationships/hyperlink" Target="https://octopart.com/click/track?ai=8078&amp;sig=0f51bc6&amp;sid=819&amp;ppid=1432420&amp;vpid=464895797&amp;ct=offers" TargetMode="External"/><Relationship Id="rId148" Type="http://schemas.openxmlformats.org/officeDocument/2006/relationships/hyperlink" Target="https://octopart.com/click/track?c=1&amp;ai=8078&amp;sig=0a62f1b&amp;sid=2401&amp;ppid=1432420&amp;vpid=37670933&amp;ct=offers" TargetMode="External"/><Relationship Id="rId149" Type="http://schemas.openxmlformats.org/officeDocument/2006/relationships/hyperlink" Target="https://octopart.com/click/track?c=1&amp;ai=8078&amp;sig=007b1fd&amp;sid=2402&amp;ppid=1432420&amp;vpid=462366243&amp;ct=offers" TargetMode="External"/><Relationship Id="rId150" Type="http://schemas.openxmlformats.org/officeDocument/2006/relationships/hyperlink" Target="https://octopart.com/click/track?ai=8078&amp;sig=0d0b068&amp;sid=10022&amp;ppid=1432420&amp;vpid=199088821&amp;ct=offers" TargetMode="External"/><Relationship Id="rId151" Type="http://schemas.openxmlformats.org/officeDocument/2006/relationships/hyperlink" Target="https://octopart.com/click/track?ai=8078&amp;sig=0871723&amp;sid=1532&amp;ppid=1432420&amp;vpid=709123001&amp;ct=offers" TargetMode="External"/><Relationship Id="rId152" Type="http://schemas.openxmlformats.org/officeDocument/2006/relationships/hyperlink" Target="https://www.microchip.com/en-us/product/MCP6H01" TargetMode="External"/><Relationship Id="rId153" Type="http://schemas.openxmlformats.org/officeDocument/2006/relationships/hyperlink" Target="https://octopart.com/click/track?ai=8078&amp;sig=0566c78&amp;sid=459&amp;ppid=21389927&amp;vpid=46837432&amp;ct=offers" TargetMode="External"/><Relationship Id="rId154" Type="http://schemas.openxmlformats.org/officeDocument/2006/relationships/hyperlink" Target="https://octopart.com/click/track?ai=8078&amp;sig=0deab42&amp;sid=11744&amp;ppid=21389927&amp;vpid=478776036&amp;ct=offers" TargetMode="External"/><Relationship Id="rId155" Type="http://schemas.openxmlformats.org/officeDocument/2006/relationships/hyperlink" Target="https://octopart.com/click/track?ai=8078&amp;sig=0e088c4&amp;sid=2401&amp;ppid=21389927&amp;vpid=96737316&amp;ct=offers" TargetMode="External"/><Relationship Id="rId156" Type="http://schemas.openxmlformats.org/officeDocument/2006/relationships/hyperlink" Target="https://octopart.com/click/track?ai=8078&amp;sig=03f9ef0&amp;sid=2402&amp;ppid=21389927&amp;vpid=477464962&amp;ct=offers" TargetMode="External"/><Relationship Id="rId157" Type="http://schemas.openxmlformats.org/officeDocument/2006/relationships/hyperlink" Target="https://octopart.com/click/track?ai=8078&amp;sig=03abf9d&amp;sid=10022&amp;ppid=21389927&amp;vpid=501149510&amp;ct=offers" TargetMode="External"/><Relationship Id="rId158" Type="http://schemas.openxmlformats.org/officeDocument/2006/relationships/hyperlink" Target="https://octopart.com/click/track?ai=8078&amp;sig=0683b33&amp;sid=1532&amp;ppid=21389927&amp;vpid=709082526&amp;ct=offers" TargetMode="External"/><Relationship Id="rId159" Type="http://schemas.openxmlformats.org/officeDocument/2006/relationships/hyperlink" Target="https://www.apmemory.com/wp-content/uploads/APM_PSRAM_QSPI-APS6404L-3SQR-v2.3-PKG.pdf" TargetMode="External"/><Relationship Id="rId160" Type="http://schemas.openxmlformats.org/officeDocument/2006/relationships/hyperlink" Target="https://www.winbond.com/resource-files/w25q128jv%20revf%2003272018%20plus.pdf" TargetMode="External"/><Relationship Id="rId161" Type="http://schemas.openxmlformats.org/officeDocument/2006/relationships/hyperlink" Target="https://octopart.com/click/track?c=1&amp;ai=8078&amp;sig=027d369&amp;sid=459&amp;ppid=81762594&amp;vpid=420816932&amp;ct=offers" TargetMode="External"/><Relationship Id="rId162" Type="http://schemas.openxmlformats.org/officeDocument/2006/relationships/hyperlink" Target="https://abracon.com/Oscillators/ASCO.pdf" TargetMode="External"/><Relationship Id="rId163" Type="http://schemas.openxmlformats.org/officeDocument/2006/relationships/hyperlink" Target="https://octopart.com/click/track?ai=8078&amp;sig=08c1eac&amp;sid=459&amp;ppid=29304148&amp;vpid=77656383&amp;ct=offers" TargetMode="External"/><Relationship Id="rId164" Type="http://schemas.openxmlformats.org/officeDocument/2006/relationships/hyperlink" Target="https://octopart.com/click/track?ai=8078&amp;sig=00626ec&amp;sid=819&amp;ppid=29304148&amp;vpid=663079651&amp;ct=offers" TargetMode="External"/><Relationship Id="rId165" Type="http://schemas.openxmlformats.org/officeDocument/2006/relationships/hyperlink" Target="https://octopart.com/click/track?ai=8078&amp;sig=0787bed&amp;sid=2401&amp;ppid=29304148&amp;vpid=182948634&amp;ct=offers" TargetMode="External"/><Relationship Id="rId166" Type="http://schemas.openxmlformats.org/officeDocument/2006/relationships/hyperlink" Target="https://octopart.com/click/track?ai=8078&amp;sig=0785f27&amp;sid=2402&amp;ppid=29304148&amp;vpid=664848724&amp;ct=offers" TargetMode="External"/><Relationship Id="rId167" Type="http://schemas.openxmlformats.org/officeDocument/2006/relationships/hyperlink" Target="https://www.arrow.com/en/bom-tool/" TargetMode="External"/><Relationship Id="rId168" Type="http://schemas.openxmlformats.org/officeDocument/2006/relationships/hyperlink" Target="https://www.digikey.com/ordering/shoppingcart" TargetMode="External"/><Relationship Id="rId169" Type="http://schemas.openxmlformats.org/officeDocument/2006/relationships/hyperlink" Target="https://www.newark.com/quick-order?isQuickPaste=true" TargetMode="External"/><Relationship Id="rId170" Type="http://schemas.openxmlformats.org/officeDocument/2006/relationships/hyperlink" Target="https://lcsc.com/bom.html" TargetMode="External"/><Relationship Id="rId171" Type="http://schemas.openxmlformats.org/officeDocument/2006/relationships/hyperlink" Target="https://mouser.com/bom/" TargetMode="External"/><Relationship Id="rId172" Type="http://schemas.openxmlformats.org/officeDocument/2006/relationships/hyperlink" Target="https://www.newark.com/quick-order?isQuickPaste=true" TargetMode="External"/><Relationship Id="rId173" Type="http://schemas.openxmlformats.org/officeDocument/2006/relationships/hyperlink" Target="https://uk.rs-online.com/web/mylists/manualQuotes.html?method=showEnquiryCreationPage&amp;mode=new" TargetMode="External"/><Relationship Id="rId174" Type="http://schemas.openxmlformats.org/officeDocument/2006/relationships/hyperlink" Target="https://www.tme.eu/en/Profile/QuickBuy/load.html" TargetMode="External"/><Relationship Id="rId175" Type="http://schemas.openxmlformats.org/officeDocument/2006/relationships/vmlDrawing" Target="../drawings/vmlDrawing1.vml"/><Relationship Id="rId17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5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178</v>
      </c>
      <c r="B1" s="2" t="s">
        <v>179</v>
      </c>
      <c r="I1" s="3" t="s">
        <v>184</v>
      </c>
      <c r="J1" s="3">
        <v>100</v>
      </c>
    </row>
    <row r="2" spans="1:50">
      <c r="A2" s="1" t="s">
        <v>180</v>
      </c>
      <c r="B2" s="2" t="s">
        <v>181</v>
      </c>
      <c r="I2" s="1" t="s">
        <v>186</v>
      </c>
      <c r="J2" s="4">
        <f>TotalCost/BoardQty</f>
        <v>0</v>
      </c>
    </row>
    <row r="3" spans="1:50">
      <c r="A3" s="1" t="s">
        <v>182</v>
      </c>
      <c r="B3" s="2" t="s">
        <v>183</v>
      </c>
      <c r="I3" s="1" t="s">
        <v>185</v>
      </c>
      <c r="J3" s="5">
        <f>SUM(J7:J39)</f>
        <v>0</v>
      </c>
      <c r="N3" s="5">
        <f>SUM(N7:N39)</f>
        <v>0</v>
      </c>
      <c r="O3" s="6">
        <f>(COUNTA(N7:N39)&amp;" of "&amp;ROWS(N7:N39)&amp;" parts found")</f>
        <v>0</v>
      </c>
      <c r="S3" s="5">
        <f>SUM(S7:S39)</f>
        <v>0</v>
      </c>
      <c r="T3" s="6">
        <f>(COUNTA(S7:S39)&amp;" of "&amp;ROWS(S7:S39)&amp;" parts found")</f>
        <v>0</v>
      </c>
      <c r="X3" s="5">
        <f>SUM(X7:X39)</f>
        <v>0</v>
      </c>
      <c r="Y3" s="6">
        <f>(COUNTA(X7:X39)&amp;" of "&amp;ROWS(X7:X39)&amp;" parts found")</f>
        <v>0</v>
      </c>
      <c r="AC3" s="5">
        <f>SUM(AC7:AC39)</f>
        <v>0</v>
      </c>
      <c r="AD3" s="6">
        <f>(COUNTA(AC7:AC39)&amp;" of "&amp;ROWS(AC7:AC39)&amp;" parts found")</f>
        <v>0</v>
      </c>
      <c r="AH3" s="5">
        <f>SUM(AH7:AH39)</f>
        <v>0</v>
      </c>
      <c r="AI3" s="6">
        <f>(COUNTA(AH7:AH39)&amp;" of "&amp;ROWS(AH7:AH39)&amp;" parts found")</f>
        <v>0</v>
      </c>
      <c r="AM3" s="5">
        <f>SUM(AM7:AM39)</f>
        <v>0</v>
      </c>
      <c r="AN3" s="6">
        <f>(COUNTA(AM7:AM39)&amp;" of "&amp;ROWS(AM7:AM39)&amp;" parts found")</f>
        <v>0</v>
      </c>
      <c r="AR3" s="5">
        <f>SUM(AR7:AR39)</f>
        <v>0</v>
      </c>
      <c r="AS3" s="6">
        <f>(COUNTA(AR7:AR39)&amp;" of "&amp;ROWS(AR7:AR39)&amp;" parts found")</f>
        <v>0</v>
      </c>
      <c r="AW3" s="5">
        <f>SUM(AW7:AW39)</f>
        <v>0</v>
      </c>
      <c r="AX3" s="6">
        <f>(COUNTA(AW7:AW39)&amp;" of "&amp;ROWS(AW7:AW39)&amp;" parts found")</f>
        <v>0</v>
      </c>
    </row>
    <row r="4" spans="1:50">
      <c r="A4" s="1" t="s">
        <v>187</v>
      </c>
      <c r="B4" s="2" t="s">
        <v>188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189</v>
      </c>
      <c r="L5" s="8"/>
      <c r="M5" s="8"/>
      <c r="N5" s="8"/>
      <c r="O5" s="8"/>
      <c r="P5" s="9" t="s">
        <v>194</v>
      </c>
      <c r="Q5" s="9"/>
      <c r="R5" s="9"/>
      <c r="S5" s="9"/>
      <c r="T5" s="9"/>
      <c r="U5" s="10" t="s">
        <v>227</v>
      </c>
      <c r="V5" s="10"/>
      <c r="W5" s="10"/>
      <c r="X5" s="10"/>
      <c r="Y5" s="10"/>
      <c r="Z5" s="11" t="s">
        <v>253</v>
      </c>
      <c r="AA5" s="11"/>
      <c r="AB5" s="11"/>
      <c r="AC5" s="11"/>
      <c r="AD5" s="11"/>
      <c r="AE5" s="12" t="s">
        <v>263</v>
      </c>
      <c r="AF5" s="12"/>
      <c r="AG5" s="12"/>
      <c r="AH5" s="12"/>
      <c r="AI5" s="12"/>
      <c r="AJ5" s="13" t="s">
        <v>290</v>
      </c>
      <c r="AK5" s="13"/>
      <c r="AL5" s="13"/>
      <c r="AM5" s="13"/>
      <c r="AN5" s="13"/>
      <c r="AO5" s="14" t="s">
        <v>316</v>
      </c>
      <c r="AP5" s="14"/>
      <c r="AQ5" s="14"/>
      <c r="AR5" s="14"/>
      <c r="AS5" s="14"/>
      <c r="AT5" s="15" t="s">
        <v>329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190</v>
      </c>
      <c r="L6" s="16" t="s">
        <v>191</v>
      </c>
      <c r="M6" s="16" t="s">
        <v>8</v>
      </c>
      <c r="N6" s="16" t="s">
        <v>9</v>
      </c>
      <c r="O6" s="16" t="s">
        <v>192</v>
      </c>
      <c r="P6" s="16" t="s">
        <v>190</v>
      </c>
      <c r="Q6" s="16" t="s">
        <v>191</v>
      </c>
      <c r="R6" s="16" t="s">
        <v>8</v>
      </c>
      <c r="S6" s="16" t="s">
        <v>9</v>
      </c>
      <c r="T6" s="16" t="s">
        <v>192</v>
      </c>
      <c r="U6" s="16" t="s">
        <v>190</v>
      </c>
      <c r="V6" s="16" t="s">
        <v>191</v>
      </c>
      <c r="W6" s="16" t="s">
        <v>8</v>
      </c>
      <c r="X6" s="16" t="s">
        <v>9</v>
      </c>
      <c r="Y6" s="16" t="s">
        <v>192</v>
      </c>
      <c r="Z6" s="16" t="s">
        <v>190</v>
      </c>
      <c r="AA6" s="16" t="s">
        <v>191</v>
      </c>
      <c r="AB6" s="16" t="s">
        <v>8</v>
      </c>
      <c r="AC6" s="16" t="s">
        <v>9</v>
      </c>
      <c r="AD6" s="16" t="s">
        <v>192</v>
      </c>
      <c r="AE6" s="16" t="s">
        <v>190</v>
      </c>
      <c r="AF6" s="16" t="s">
        <v>191</v>
      </c>
      <c r="AG6" s="16" t="s">
        <v>8</v>
      </c>
      <c r="AH6" s="16" t="s">
        <v>9</v>
      </c>
      <c r="AI6" s="16" t="s">
        <v>192</v>
      </c>
      <c r="AJ6" s="16" t="s">
        <v>190</v>
      </c>
      <c r="AK6" s="16" t="s">
        <v>191</v>
      </c>
      <c r="AL6" s="16" t="s">
        <v>8</v>
      </c>
      <c r="AM6" s="16" t="s">
        <v>9</v>
      </c>
      <c r="AN6" s="16" t="s">
        <v>192</v>
      </c>
      <c r="AO6" s="16" t="s">
        <v>190</v>
      </c>
      <c r="AP6" s="16" t="s">
        <v>191</v>
      </c>
      <c r="AQ6" s="16" t="s">
        <v>8</v>
      </c>
      <c r="AR6" s="16" t="s">
        <v>9</v>
      </c>
      <c r="AS6" s="16" t="s">
        <v>192</v>
      </c>
      <c r="AT6" s="16" t="s">
        <v>190</v>
      </c>
      <c r="AU6" s="16" t="s">
        <v>191</v>
      </c>
      <c r="AV6" s="16" t="s">
        <v>8</v>
      </c>
      <c r="AW6" s="16" t="s">
        <v>9</v>
      </c>
      <c r="AX6" s="16" t="s">
        <v>192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17430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19" t="s">
        <v>195</v>
      </c>
      <c r="U7" s="17">
        <v>20</v>
      </c>
      <c r="W7" s="18">
        <f>iferror(USD_GBP*lookup(if(V7="",H7,V7),{0,1,10,100,150,500,2500,5000,10000,50000},{0.0,0.127,0.127,0.105,0.105,0.0523,0.05,0.0456,0.0432,0.0386}),"")</f>
        <v>0</v>
      </c>
      <c r="X7" s="18">
        <f>iferror(if(V7="",H7,V7)*W7,"")</f>
        <v>0</v>
      </c>
      <c r="Y7" s="19" t="s">
        <v>228</v>
      </c>
      <c r="AE7" s="17">
        <v>101344</v>
      </c>
      <c r="AG7" s="18">
        <f>iferror(lookup(if(AF7="",H7,AF7),{0,1,10,50,100,1000,10000},{0.0,0.29,0.198,0.198,0.101,0.061,0.05}),"")</f>
        <v>0</v>
      </c>
      <c r="AH7" s="18">
        <f>iferror(if(AF7="",H7,AF7)*AG7,"")</f>
        <v>0</v>
      </c>
      <c r="AI7" s="19" t="s">
        <v>264</v>
      </c>
      <c r="AJ7" s="17">
        <v>20</v>
      </c>
      <c r="AL7" s="18">
        <f>iferror(lookup(if(AK7="",H7,AK7),{0,1,10,25,50,100},{0.0,0.348,0.238,0.199,0.16,0.121}),"")</f>
        <v>0</v>
      </c>
      <c r="AM7" s="18">
        <f>iferror(if(AK7="",H7,AK7)*AL7,"")</f>
        <v>0</v>
      </c>
      <c r="AN7" s="19" t="s">
        <v>291</v>
      </c>
    </row>
    <row r="8" spans="1:50">
      <c r="A8" s="17" t="s">
        <v>18</v>
      </c>
      <c r="B8" s="17" t="s">
        <v>12</v>
      </c>
      <c r="C8" s="17" t="s">
        <v>19</v>
      </c>
      <c r="D8" s="17" t="s">
        <v>22</v>
      </c>
      <c r="E8" s="17" t="s">
        <v>20</v>
      </c>
      <c r="F8" s="17" t="s">
        <v>15</v>
      </c>
      <c r="G8" s="17" t="s">
        <v>21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197</v>
      </c>
      <c r="R8" s="18">
        <f>iferror(lookup(if(Q8="",H8,Q8),{0,1,10,50,100,500,1000,4000},{0.0,0.37,0.258,0.1808,0.1549,0.11618,0.09811,0.07633}),"")</f>
        <v>0</v>
      </c>
      <c r="S8" s="18">
        <f>iferror(if(Q8="",H8,Q8)*R8,"")</f>
        <v>0</v>
      </c>
      <c r="T8" s="19" t="s">
        <v>196</v>
      </c>
      <c r="U8" s="17">
        <v>20</v>
      </c>
      <c r="W8" s="18">
        <f>iferror(USD_GBP*lookup(if(V8="",H8,V8),{0,1,10,100,150,500,1000,2000,4000,20000},{0.0,0.301,0.301,0.162,0.162,0.106,0.09,0.0828,0.0756,0.0741}),"")</f>
        <v>0</v>
      </c>
      <c r="X8" s="18">
        <f>iferror(if(V8="",H8,V8)*W8,"")</f>
        <v>0</v>
      </c>
      <c r="Y8" s="19" t="s">
        <v>229</v>
      </c>
      <c r="Z8" s="17">
        <v>15450</v>
      </c>
      <c r="AB8" s="18">
        <f>iferror(lookup(if(AA8="",H8,AA8),{0,1,5,50,150,500,2500,5000},{0.0,0.62054,0.62054,0.45238,0.42149,0.39061,0.37688,0.3701}),"")</f>
        <v>0</v>
      </c>
      <c r="AC8" s="18">
        <f>iferror(if(AA8="",H8,AA8)*AB8,"")</f>
        <v>0</v>
      </c>
      <c r="AD8" s="19" t="s">
        <v>254</v>
      </c>
      <c r="AE8" s="17">
        <v>6777</v>
      </c>
      <c r="AG8" s="18">
        <f>iferror(lookup(if(AF8="",H8,AF8),{0,1,10,50,100,1000,10000},{0.0,0.37,0.258,0.258,0.154,0.098,0.083}),"")</f>
        <v>0</v>
      </c>
      <c r="AH8" s="18">
        <f>iferror(if(AF8="",H8,AF8)*AG8,"")</f>
        <v>0</v>
      </c>
      <c r="AI8" s="19" t="s">
        <v>265</v>
      </c>
      <c r="AJ8" s="17">
        <v>20</v>
      </c>
      <c r="AL8" s="18">
        <f>iferror(lookup(if(AK8="",H8,AK8),{0,1,10,25,50,100},{0.0,0.444,0.31,0.268,0.226,0.185}),"")</f>
        <v>0</v>
      </c>
      <c r="AM8" s="18">
        <f>iferror(if(AK8="",H8,AK8)*AL8,"")</f>
        <v>0</v>
      </c>
      <c r="AN8" s="19" t="s">
        <v>292</v>
      </c>
    </row>
    <row r="9" spans="1:50">
      <c r="A9" s="17" t="s">
        <v>23</v>
      </c>
      <c r="B9" s="17" t="s">
        <v>24</v>
      </c>
      <c r="C9" s="17" t="s">
        <v>25</v>
      </c>
      <c r="D9" s="17" t="s">
        <v>28</v>
      </c>
      <c r="E9" s="17" t="s">
        <v>20</v>
      </c>
      <c r="F9" s="17" t="s">
        <v>26</v>
      </c>
      <c r="G9" s="17" t="s">
        <v>27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197</v>
      </c>
      <c r="R9" s="18">
        <f>iferror(lookup(if(Q9="",H9,Q9),{0,1,10,50,100,500,1000,4000},{0.0,0.37,0.258,0.1806,0.1548,0.11608,0.09802,0.0877}),"")</f>
        <v>0</v>
      </c>
      <c r="S9" s="18">
        <f>iferror(if(Q9="",H9,Q9)*R9,"")</f>
        <v>0</v>
      </c>
      <c r="T9" s="19" t="s">
        <v>198</v>
      </c>
      <c r="U9" s="20" t="s">
        <v>197</v>
      </c>
      <c r="W9" s="18">
        <f>iferror(USD_GBP*lookup(if(V9="",H9,V9),{0,1,10,100,150,500,1000,2000,4000,20000},{0.0,0.187,0.187,0.139,0.139,0.0899,0.0759,0.0743,0.0728,0.0603}),"")</f>
        <v>0</v>
      </c>
      <c r="X9" s="18">
        <f>iferror(if(V9="",H9,V9)*W9,"")</f>
        <v>0</v>
      </c>
      <c r="Y9" s="19" t="s">
        <v>230</v>
      </c>
      <c r="AE9" s="17">
        <v>5904</v>
      </c>
      <c r="AG9" s="18">
        <f>iferror(lookup(if(AF9="",H9,AF9),{0,1,10,50,100,1000,10000},{0.0,0.36,0.27,0.27,0.161,0.102,0.075}),"")</f>
        <v>0</v>
      </c>
      <c r="AH9" s="18">
        <f>iferror(if(AF9="",H9,AF9)*AG9,"")</f>
        <v>0</v>
      </c>
      <c r="AI9" s="19" t="s">
        <v>266</v>
      </c>
      <c r="AJ9" s="20" t="s">
        <v>197</v>
      </c>
      <c r="AL9" s="18">
        <f>iferror(lookup(if(AK9="",H9,AK9),{0,1,10,25,50,100,4000,8000},{0.0,0.27,0.27,0.234,0.197,0.161,0.081,0.075}),"")</f>
        <v>0</v>
      </c>
      <c r="AM9" s="18">
        <f>iferror(if(AK9="",H9,AK9)*AL9,"")</f>
        <v>0</v>
      </c>
      <c r="AN9" s="19" t="s">
        <v>293</v>
      </c>
      <c r="AO9" s="17">
        <v>60</v>
      </c>
      <c r="AQ9" s="18">
        <f>iferror(USD_GBP*lookup(if(AP9="",H9,AP9),{0,1,20,100,500,1000,2000,4000,16000},{0.0,0.206,0.206,0.114,0.093,0.082,0.08,0.06,0.058}),"")</f>
        <v>0</v>
      </c>
      <c r="AR9" s="18">
        <f>iferror(if(AP9="",H9,AP9)*AQ9,"")</f>
        <v>0</v>
      </c>
      <c r="AS9" s="19" t="s">
        <v>317</v>
      </c>
    </row>
    <row r="10" spans="1:50">
      <c r="A10" s="17" t="s">
        <v>29</v>
      </c>
      <c r="B10" s="17" t="s">
        <v>12</v>
      </c>
      <c r="C10" s="17" t="s">
        <v>30</v>
      </c>
      <c r="D10" s="17" t="s">
        <v>33</v>
      </c>
      <c r="E10" s="17" t="s">
        <v>31</v>
      </c>
      <c r="F10" s="17" t="s">
        <v>15</v>
      </c>
      <c r="G10" s="17" t="s">
        <v>32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1433893</v>
      </c>
      <c r="R10" s="18">
        <f>iferror(lookup(if(Q10="",H10,Q10),{0,1,10,50,100,500,1000,2500,5000,15000},{0.0,0.25,0.172,0.115,0.0978,0.069,0.06038,0.0575,0.05319,0.04773}),"")</f>
        <v>0</v>
      </c>
      <c r="S10" s="18">
        <f>iferror(if(Q10="",H10,Q10)*R10,"")</f>
        <v>0</v>
      </c>
      <c r="T10" s="19" t="s">
        <v>199</v>
      </c>
      <c r="U10" s="20" t="s">
        <v>197</v>
      </c>
      <c r="W10" s="18">
        <f>iferror(USD_GBP*lookup(if(V10="",H10,V10),{0,1,10,100,150,500,2500,7500,15000,75000},{0.0,0.152,0.152,0.106,0.106,0.0837,0.0636,0.053,0.052,0.0445}),"")</f>
        <v>0</v>
      </c>
      <c r="X10" s="18">
        <f>iferror(if(V10="",H10,V10)*W10,"")</f>
        <v>0</v>
      </c>
      <c r="Y10" s="19" t="s">
        <v>231</v>
      </c>
      <c r="AE10" s="20" t="s">
        <v>197</v>
      </c>
      <c r="AG10" s="18">
        <f>iferror(lookup(if(AF10="",H10,AF10),{0,1,10,50,100,1000,10000},{0.0,0.25,0.171,0.171,0.097,0.06,0.051}),"")</f>
        <v>0</v>
      </c>
      <c r="AH10" s="18">
        <f>iferror(if(AF10="",H10,AF10)*AG10,"")</f>
        <v>0</v>
      </c>
      <c r="AI10" s="19" t="s">
        <v>267</v>
      </c>
      <c r="AJ10" s="20" t="s">
        <v>197</v>
      </c>
      <c r="AL10" s="18">
        <f>iferror(lookup(if(AK10="",H10,AK10),{0,1,10,25,50,100,15000},{0.0,0.205,0.205,0.176,0.146,0.116,0.062}),"")</f>
        <v>0</v>
      </c>
      <c r="AM10" s="18">
        <f>iferror(if(AK10="",H10,AK10)*AL10,"")</f>
        <v>0</v>
      </c>
      <c r="AN10" s="19" t="s">
        <v>294</v>
      </c>
    </row>
    <row r="11" spans="1:50">
      <c r="A11" s="17" t="s">
        <v>34</v>
      </c>
      <c r="B11" s="17" t="s">
        <v>12</v>
      </c>
      <c r="C11" s="17" t="s">
        <v>35</v>
      </c>
      <c r="D11" s="17" t="s">
        <v>37</v>
      </c>
      <c r="E11" s="17" t="s">
        <v>31</v>
      </c>
      <c r="F11" s="17" t="s">
        <v>15</v>
      </c>
      <c r="G11" s="17" t="s">
        <v>36</v>
      </c>
      <c r="H11" s="17">
        <f>BoardQty*3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1701248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19" t="s">
        <v>200</v>
      </c>
      <c r="U11" s="17">
        <v>80000</v>
      </c>
      <c r="W11" s="18">
        <f>iferror(USD_GBP*lookup(if(V11="",H11,V11),{0,1,10,100,150,500,2500,5000,10000,50000},{0.0,0.227,0.227,0.184,0.184,0.102,0.0969,0.0853,0.0836,0.0716}),"")</f>
        <v>0</v>
      </c>
      <c r="X11" s="18">
        <f>iferror(if(V11="",H11,V11)*W11,"")</f>
        <v>0</v>
      </c>
      <c r="Y11" s="19" t="s">
        <v>232</v>
      </c>
      <c r="Z11" s="17">
        <v>191830</v>
      </c>
      <c r="AB11" s="18">
        <f>iferror(lookup(if(AA11="",H11,AA11),{0,1,5,50,150,500,2500,5000},{0.0,0.6702,0.6702,0.48858,0.45522,0.42187,0.40704,0.39972}),"")</f>
        <v>0</v>
      </c>
      <c r="AC11" s="18">
        <f>iferror(if(AA11="",H11,AA11)*AB11,"")</f>
        <v>0</v>
      </c>
      <c r="AD11" s="19" t="s">
        <v>255</v>
      </c>
      <c r="AE11" s="17">
        <v>311213</v>
      </c>
      <c r="AG11" s="18">
        <f>iferror(lookup(if(AF11="",H11,AF11),{0,1,10,50,100,1000,10000},{0.0,0.44,0.306,0.306,0.184,0.116,0.094}),"")</f>
        <v>0</v>
      </c>
      <c r="AH11" s="18">
        <f>iferror(if(AF11="",H11,AF11)*AG11,"")</f>
        <v>0</v>
      </c>
      <c r="AI11" s="19" t="s">
        <v>268</v>
      </c>
      <c r="AJ11" s="17">
        <v>80000</v>
      </c>
      <c r="AL11" s="18">
        <f>iferror(lookup(if(AK11="",H11,AK11),{0,1,10,25,50,100,10000},{0.0,0.528,0.367,0.318,0.27,0.221,0.113}),"")</f>
        <v>0</v>
      </c>
      <c r="AM11" s="18">
        <f>iferror(if(AK11="",H11,AK11)*AL11,"")</f>
        <v>0</v>
      </c>
      <c r="AN11" s="19" t="s">
        <v>295</v>
      </c>
    </row>
    <row r="12" spans="1:50">
      <c r="A12" s="17" t="s">
        <v>38</v>
      </c>
      <c r="B12" s="17" t="s">
        <v>39</v>
      </c>
      <c r="C12" s="17" t="s">
        <v>40</v>
      </c>
      <c r="D12" s="17" t="s">
        <v>42</v>
      </c>
      <c r="E12" s="17" t="s">
        <v>31</v>
      </c>
      <c r="F12" s="17" t="s">
        <v>15</v>
      </c>
      <c r="G12" s="17" t="s">
        <v>41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1804220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19" t="s">
        <v>201</v>
      </c>
      <c r="U12" s="17">
        <v>28952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19" t="s">
        <v>233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19" t="s">
        <v>256</v>
      </c>
      <c r="AE12" s="17">
        <v>789553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19" t="s">
        <v>269</v>
      </c>
      <c r="AJ12" s="17">
        <v>19878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19" t="s">
        <v>296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19" t="s">
        <v>318</v>
      </c>
    </row>
    <row r="13" spans="1:50">
      <c r="A13" s="17" t="s">
        <v>43</v>
      </c>
      <c r="B13" s="17" t="s">
        <v>44</v>
      </c>
      <c r="C13" s="17" t="s">
        <v>45</v>
      </c>
      <c r="E13" s="17" t="s">
        <v>46</v>
      </c>
      <c r="F13" s="17" t="s">
        <v>47</v>
      </c>
      <c r="G13" s="17" t="s">
        <v>48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9838</v>
      </c>
      <c r="R13" s="18">
        <f>iferror(lookup(if(Q13="",H13,Q13),{0,1,10,100,500,1000,2000,5000,10000,30000},{0.0,0.45,0.335,0.1899,0.12572,0.09639,0.08382,0.07544,0.06706,0.06287}),"")</f>
        <v>0</v>
      </c>
      <c r="S13" s="18">
        <f>iferror(if(Q13="",H13,Q13)*R13,"")</f>
        <v>0</v>
      </c>
      <c r="T13" s="19" t="s">
        <v>202</v>
      </c>
      <c r="U13" s="20" t="s">
        <v>197</v>
      </c>
      <c r="W13" s="18">
        <f>iferror(USD_GBP*lookup(if(V13="",H13,V13),{0,1,10000},{0.0,0.0506,0.0506}),"")</f>
        <v>0</v>
      </c>
      <c r="X13" s="18">
        <f>iferror(if(V13="",H13,V13)*W13,"")</f>
        <v>0</v>
      </c>
      <c r="Y13" s="19" t="s">
        <v>234</v>
      </c>
      <c r="AE13" s="17">
        <v>14119</v>
      </c>
      <c r="AG13" s="18">
        <f>iferror(lookup(if(AF13="",H13,AF13),{0,1,10,50,100,1000,10000},{0.0,0.41,0.29,0.29,0.164,0.084,0.06}),"")</f>
        <v>0</v>
      </c>
      <c r="AH13" s="18">
        <f>iferror(if(AF13="",H13,AF13)*AG13,"")</f>
        <v>0</v>
      </c>
      <c r="AI13" s="19" t="s">
        <v>270</v>
      </c>
      <c r="AJ13" s="20" t="s">
        <v>197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19" t="s">
        <v>297</v>
      </c>
    </row>
    <row r="14" spans="1:50">
      <c r="A14" s="17" t="s">
        <v>49</v>
      </c>
      <c r="B14" s="17" t="s">
        <v>50</v>
      </c>
      <c r="C14" s="17" t="s">
        <v>51</v>
      </c>
      <c r="E14" s="17" t="s">
        <v>52</v>
      </c>
      <c r="F14" s="17" t="s">
        <v>53</v>
      </c>
      <c r="G14" s="17" t="s">
        <v>50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7992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19" t="s">
        <v>203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19" t="s">
        <v>235</v>
      </c>
      <c r="AE14" s="17">
        <v>3994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19" t="s">
        <v>271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19" t="s">
        <v>298</v>
      </c>
      <c r="AT14" s="17">
        <v>3427</v>
      </c>
      <c r="AV14" s="18">
        <f>iferror(USD_GBP*lookup(if(AU14="",H14,AU14),{0,1,5,25,100,500,4000},{0.0,0.14,0.14,0.1212,0.0751,0.0572,0.0429}),"")</f>
        <v>0</v>
      </c>
      <c r="AW14" s="18">
        <f>iferror(if(AU14="",H14,AU14)*AV14,"")</f>
        <v>0</v>
      </c>
      <c r="AX14" s="19" t="s">
        <v>330</v>
      </c>
    </row>
    <row r="15" spans="1:50">
      <c r="A15" s="17" t="s">
        <v>54</v>
      </c>
      <c r="B15" s="17" t="s">
        <v>55</v>
      </c>
      <c r="C15" s="17" t="s">
        <v>56</v>
      </c>
      <c r="E15" s="17" t="s">
        <v>52</v>
      </c>
      <c r="F15" s="17" t="s">
        <v>53</v>
      </c>
      <c r="G15" s="17" t="s">
        <v>55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18111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19" t="s">
        <v>204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19" t="s">
        <v>236</v>
      </c>
      <c r="AE15" s="17">
        <v>13600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19" t="s">
        <v>272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19" t="s">
        <v>299</v>
      </c>
      <c r="AT15" s="17">
        <v>2779</v>
      </c>
      <c r="AV15" s="18">
        <f>iferror(USD_GBP*lookup(if(AU15="",H15,AU15),{0,1,5,25,100,500,4000},{0.0,0.14,0.14,0.1064,0.0751,0.0542,0.039}),"")</f>
        <v>0</v>
      </c>
      <c r="AW15" s="18">
        <f>iferror(if(AU15="",H15,AU15)*AV15,"")</f>
        <v>0</v>
      </c>
      <c r="AX15" s="19" t="s">
        <v>331</v>
      </c>
    </row>
    <row r="16" spans="1:50">
      <c r="A16" s="17" t="s">
        <v>57</v>
      </c>
      <c r="B16" s="17" t="s">
        <v>58</v>
      </c>
      <c r="C16" s="17" t="s">
        <v>59</v>
      </c>
      <c r="E16" s="17" t="s">
        <v>60</v>
      </c>
      <c r="F16" s="17" t="s">
        <v>61</v>
      </c>
      <c r="G16" s="17" t="s">
        <v>62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635</v>
      </c>
      <c r="R16" s="18">
        <f>iferror(lookup(if(Q16="",H16,Q16),{0,1,10,25,50,100,250,500},{0.0,0.05,0.039,0.0364,0.027,0.0232,0.02244,0.01936}),"")</f>
        <v>0</v>
      </c>
      <c r="S16" s="18">
        <f>iferror(if(Q16="",H16,Q16)*R16,"")</f>
        <v>0</v>
      </c>
      <c r="T16" s="19" t="s">
        <v>205</v>
      </c>
    </row>
    <row r="17" spans="1:50">
      <c r="A17" s="17" t="s">
        <v>63</v>
      </c>
      <c r="B17" s="17" t="s">
        <v>64</v>
      </c>
      <c r="C17" s="17" t="s">
        <v>65</v>
      </c>
      <c r="E17" s="17" t="s">
        <v>66</v>
      </c>
      <c r="F17" s="17" t="s">
        <v>61</v>
      </c>
      <c r="G17" s="17" t="s">
        <v>67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6418</v>
      </c>
      <c r="R17" s="18">
        <f>iferror(lookup(if(Q17="",H17,Q17),{0,1,10,25,50,100,250,500},{0.0,0.19,0.182,0.1356,0.1162,0.1122,0.09676,0.09288}),"")</f>
        <v>0</v>
      </c>
      <c r="S17" s="18">
        <f>iferror(if(Q17="",H17,Q17)*R17,"")</f>
        <v>0</v>
      </c>
      <c r="T17" s="19" t="s">
        <v>206</v>
      </c>
    </row>
    <row r="18" spans="1:50">
      <c r="A18" s="17" t="s">
        <v>68</v>
      </c>
      <c r="B18" s="17" t="s">
        <v>69</v>
      </c>
      <c r="C18" s="17" t="s">
        <v>70</v>
      </c>
      <c r="E18" s="17" t="s">
        <v>71</v>
      </c>
      <c r="F18" s="17" t="s">
        <v>61</v>
      </c>
      <c r="G18" s="17" t="s">
        <v>72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2101</v>
      </c>
      <c r="R18" s="18">
        <f>iferror(lookup(if(Q18="",H18,Q18),{0,1,10,25,50,100,250,500},{0.0,0.4,0.379,0.3252,0.2764,0.2655,0.2384,0.22756}),"")</f>
        <v>0</v>
      </c>
      <c r="S18" s="18">
        <f>iferror(if(Q18="",H18,Q18)*R18,"")</f>
        <v>0</v>
      </c>
      <c r="T18" s="19" t="s">
        <v>207</v>
      </c>
    </row>
    <row r="19" spans="1:50">
      <c r="A19" s="17" t="s">
        <v>73</v>
      </c>
      <c r="B19" s="17" t="s">
        <v>74</v>
      </c>
      <c r="C19" s="17" t="s">
        <v>75</v>
      </c>
      <c r="E19" s="17" t="s">
        <v>76</v>
      </c>
      <c r="F19" s="17" t="s">
        <v>61</v>
      </c>
      <c r="G19" s="17" t="s">
        <v>77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10915</v>
      </c>
      <c r="R19" s="18">
        <f>iferror(lookup(if(Q19="",H19,Q19),{0,1,10,25,50,100,250,500},{0.0,0.29,0.271,0.2324,0.1974,0.1896,0.17028,0.16254}),"")</f>
        <v>0</v>
      </c>
      <c r="S19" s="18">
        <f>iferror(if(Q19="",H19,Q19)*R19,"")</f>
        <v>0</v>
      </c>
      <c r="T19" s="19" t="s">
        <v>208</v>
      </c>
    </row>
    <row r="20" spans="1:50">
      <c r="A20" s="17" t="s">
        <v>78</v>
      </c>
      <c r="B20" s="17" t="s">
        <v>79</v>
      </c>
      <c r="C20" s="17" t="s">
        <v>80</v>
      </c>
      <c r="D20" s="17" t="s">
        <v>83</v>
      </c>
      <c r="E20" s="17" t="s">
        <v>81</v>
      </c>
      <c r="F20" s="17" t="s">
        <v>82</v>
      </c>
      <c r="G20" s="17" t="s">
        <v>79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19" t="s">
        <v>257</v>
      </c>
    </row>
    <row r="21" spans="1:50">
      <c r="A21" s="17" t="s">
        <v>84</v>
      </c>
      <c r="B21" s="17" t="s">
        <v>85</v>
      </c>
      <c r="C21" s="17" t="s">
        <v>86</v>
      </c>
      <c r="E21" s="17" t="s">
        <v>87</v>
      </c>
      <c r="F21" s="17" t="s">
        <v>88</v>
      </c>
      <c r="G21" s="17" t="s">
        <v>89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134435</v>
      </c>
      <c r="R21" s="18">
        <f>iferror(lookup(if(Q21="",H21,Q21),{0,1,10,100,1000,2500,5000,15000},{0.0,0.1,0.028,0.0115,0.00518,0.0045,0.00371,0.00323}),"")</f>
        <v>0</v>
      </c>
      <c r="S21" s="18">
        <f>iferror(if(Q21="",H21,Q21)*R21,"")</f>
        <v>0</v>
      </c>
      <c r="T21" s="19" t="s">
        <v>209</v>
      </c>
      <c r="U21" s="20" t="s">
        <v>197</v>
      </c>
      <c r="W21" s="18">
        <f>iferror(USD_GBP*lookup(if(V21="",H21,V21),{0,1,30000},{0.0,0.0055,0.0055}),"")</f>
        <v>0</v>
      </c>
      <c r="X21" s="18">
        <f>iferror(if(V21="",H21,V21)*W21,"")</f>
        <v>0</v>
      </c>
      <c r="Y21" s="19" t="s">
        <v>237</v>
      </c>
      <c r="AE21" s="17">
        <v>9743</v>
      </c>
      <c r="AG21" s="18">
        <f>iferror(lookup(if(AF21="",H21,AF21),{0,1,10,50,100,1000,10000},{0.0,0.1,0.031,0.031,0.014,0.007,0.005}),"")</f>
        <v>0</v>
      </c>
      <c r="AH21" s="18">
        <f>iferror(if(AF21="",H21,AF21)*AG21,"")</f>
        <v>0</v>
      </c>
      <c r="AI21" s="19" t="s">
        <v>273</v>
      </c>
      <c r="AJ21" s="20" t="s">
        <v>197</v>
      </c>
      <c r="AL21" s="18">
        <f>iferror(lookup(if(AK21="",H21,AK21),{0,1,15000,30000},{0.0,0.005,0.005,0.004}),"")</f>
        <v>0</v>
      </c>
      <c r="AM21" s="18">
        <f>iferror(if(AK21="",H21,AK21)*AL21,"")</f>
        <v>0</v>
      </c>
      <c r="AN21" s="19" t="s">
        <v>300</v>
      </c>
      <c r="AO21" s="17">
        <v>38000</v>
      </c>
      <c r="AQ21" s="18">
        <f>iferror(USD_GBP*lookup(if(AP21="",H21,AP21),{0,1,1000,5000,10000,15000},{0.0,0.005,0.005,0.005,0.005,0.005}),"")</f>
        <v>0</v>
      </c>
      <c r="AR21" s="18">
        <f>iferror(if(AP21="",H21,AP21)*AQ21,"")</f>
        <v>0</v>
      </c>
      <c r="AS21" s="19" t="s">
        <v>319</v>
      </c>
    </row>
    <row r="22" spans="1:50">
      <c r="A22" s="17" t="s">
        <v>90</v>
      </c>
      <c r="B22" s="17" t="s">
        <v>91</v>
      </c>
      <c r="C22" s="17" t="s">
        <v>92</v>
      </c>
      <c r="E22" s="17" t="s">
        <v>87</v>
      </c>
      <c r="F22" s="17" t="s">
        <v>88</v>
      </c>
      <c r="G22" s="17" t="s">
        <v>93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20" t="s">
        <v>197</v>
      </c>
      <c r="R22" s="18">
        <f>iferror(lookup(if(Q22="",H22,Q22),{0,1,10,25,50,100,250,500,1000,5000,15000,30000,75000},{0.0,0.1,0.025,0.018,0.0136,0.01,0.00764,0.00612,0.0045,0.00323,0.00281,0.00247,0.00231}),"")</f>
        <v>0</v>
      </c>
      <c r="S22" s="18">
        <f>iferror(if(Q22="",H22,Q22)*R22,"")</f>
        <v>0</v>
      </c>
      <c r="T22" s="19" t="s">
        <v>210</v>
      </c>
      <c r="U22" s="17">
        <v>120000</v>
      </c>
      <c r="W22" s="18">
        <f>iferror(USD_GBP*lookup(if(V22="",H22,V22),{0,1,10,100,150,500,2500,7500,15000,75000},{0.0,0.04,0.04,0.024,0.024,0.018,0.012,0.009,0.007,0.0051}),"")</f>
        <v>0</v>
      </c>
      <c r="X22" s="18">
        <f>iferror(if(V22="",H22,V22)*W22,"")</f>
        <v>0</v>
      </c>
      <c r="Y22" s="19" t="s">
        <v>238</v>
      </c>
      <c r="AE22" s="20" t="s">
        <v>197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19" t="s">
        <v>274</v>
      </c>
      <c r="AJ22" s="17">
        <v>90000</v>
      </c>
      <c r="AL22" s="18">
        <f>iferror(lookup(if(AK22="",H22,AK22),{0,1,25,100,250,500,1000,2500,5000,10000,15000,20000},{0.0,0.008,0.021,0.009,0.008,0.007,0.006,0.005,0.004,0.007,0.007,0.006}),"")</f>
        <v>0</v>
      </c>
      <c r="AM22" s="18">
        <f>iferror(if(AK22="",H22,AK22)*AL22,"")</f>
        <v>0</v>
      </c>
      <c r="AN22" s="19" t="s">
        <v>301</v>
      </c>
      <c r="AO22" s="17">
        <v>772637</v>
      </c>
      <c r="AQ22" s="18">
        <f>iferror(USD_GBP*lookup(if(AP22="",H22,AP22),{0,1,1000,15000},{0.0,0.004,0.004,0.005}),"")</f>
        <v>0</v>
      </c>
      <c r="AR22" s="18">
        <f>iferror(if(AP22="",H22,AP22)*AQ22,"")</f>
        <v>0</v>
      </c>
      <c r="AS22" s="19" t="s">
        <v>320</v>
      </c>
    </row>
    <row r="23" spans="1:50">
      <c r="A23" s="17" t="s">
        <v>94</v>
      </c>
      <c r="B23" s="17" t="s">
        <v>95</v>
      </c>
      <c r="C23" s="17" t="s">
        <v>96</v>
      </c>
      <c r="E23" s="17" t="s">
        <v>87</v>
      </c>
      <c r="F23" s="17" t="s">
        <v>88</v>
      </c>
      <c r="G23" s="17" t="s">
        <v>97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20" t="s">
        <v>197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19" t="s">
        <v>211</v>
      </c>
      <c r="U23" s="20" t="s">
        <v>197</v>
      </c>
      <c r="W23" s="18">
        <f>iferror(USD_GBP*lookup(if(V23="",H23,V23),{0,1,30000},{0.0,0.0052,0.0052}),"")</f>
        <v>0</v>
      </c>
      <c r="X23" s="18">
        <f>iferror(if(V23="",H23,V23)*W23,"")</f>
        <v>0</v>
      </c>
      <c r="Y23" s="19" t="s">
        <v>239</v>
      </c>
      <c r="AE23" s="17">
        <v>681</v>
      </c>
      <c r="AG23" s="18">
        <f>iferror(lookup(if(AF23="",H23,AF23),{0,1,10,50,100,1000,10000},{0.0,0.1,0.031,0.031,0.014,0.007,0.005}),"")</f>
        <v>0</v>
      </c>
      <c r="AH23" s="18">
        <f>iferror(if(AF23="",H23,AF23)*AG23,"")</f>
        <v>0</v>
      </c>
      <c r="AI23" s="19" t="s">
        <v>275</v>
      </c>
      <c r="AJ23" s="20" t="s">
        <v>197</v>
      </c>
      <c r="AL23" s="18">
        <f>iferror(lookup(if(AK23="",H23,AK23),{0,1,15000},{0.0,0.006,0.006}),"")</f>
        <v>0</v>
      </c>
      <c r="AM23" s="18">
        <f>iferror(if(AK23="",H23,AK23)*AL23,"")</f>
        <v>0</v>
      </c>
      <c r="AN23" s="19" t="s">
        <v>302</v>
      </c>
    </row>
    <row r="24" spans="1:50">
      <c r="A24" s="17" t="s">
        <v>98</v>
      </c>
      <c r="B24" s="17" t="s">
        <v>99</v>
      </c>
      <c r="C24" s="17" t="s">
        <v>100</v>
      </c>
      <c r="E24" s="17" t="s">
        <v>87</v>
      </c>
      <c r="F24" s="17" t="s">
        <v>88</v>
      </c>
      <c r="G24" s="17" t="s">
        <v>101</v>
      </c>
      <c r="H24" s="17">
        <f>BoardQty*2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434245</v>
      </c>
      <c r="R24" s="18">
        <f>iferror(lookup(if(Q24="",H24,Q24),{0,1,10,100,1000,2500,5000,15000},{0.0,0.1,0.053,0.0217,0.00975,0.00846,0.00699,0.00607}),"")</f>
        <v>0</v>
      </c>
      <c r="S24" s="18">
        <f>iferror(if(Q24="",H24,Q24)*R24,"")</f>
        <v>0</v>
      </c>
      <c r="T24" s="19" t="s">
        <v>212</v>
      </c>
      <c r="U24" s="17">
        <v>120000</v>
      </c>
      <c r="W24" s="18">
        <f>iferror(USD_GBP*lookup(if(V24="",H24,V24),{0,1,10,100,150,500,2500,7500,15000,75000},{0.0,0.0558,0.0558,0.0227,0.0227,0.0097,0.0081,0.0072,0.0056,0.0054}),"")</f>
        <v>0</v>
      </c>
      <c r="X24" s="18">
        <f>iferror(if(V24="",H24,V24)*W24,"")</f>
        <v>0</v>
      </c>
      <c r="Y24" s="19" t="s">
        <v>240</v>
      </c>
      <c r="Z24" s="17">
        <v>15000</v>
      </c>
      <c r="AB24" s="18">
        <f>iferror(lookup(if(AA24="",H24,AA24),{0,1,50,500,1500,5000,25000,50000},{0.0,0.05893,0.05893,0.04424,0.04154,0.03884,0.03764,0.03705}),"")</f>
        <v>0</v>
      </c>
      <c r="AC24" s="18">
        <f>iferror(if(AA24="",H24,AA24)*AB24,"")</f>
        <v>0</v>
      </c>
      <c r="AD24" s="19" t="s">
        <v>258</v>
      </c>
      <c r="AE24" s="17">
        <v>521641</v>
      </c>
      <c r="AG24" s="18">
        <f>iferror(lookup(if(AF24="",H24,AF24),{0,1,10,50,100,1000,10000},{0.0,0.1,0.053,0.053,0.022,0.01,0.007}),"")</f>
        <v>0</v>
      </c>
      <c r="AH24" s="18">
        <f>iferror(if(AF24="",H24,AF24)*AG24,"")</f>
        <v>0</v>
      </c>
      <c r="AI24" s="19" t="s">
        <v>276</v>
      </c>
      <c r="AJ24" s="17">
        <v>120000</v>
      </c>
      <c r="AL24" s="18">
        <f>iferror(lookup(if(AK24="",H24,AK24),{0,1,10,25,50,100,250,500,1000,2500,5000,15000},{0.0,0.114,0.057,0.066,0.035,0.027,0.022,0.016,0.011,0.01,0.009,0.009}),"")</f>
        <v>0</v>
      </c>
      <c r="AM24" s="18">
        <f>iferror(if(AK24="",H24,AK24)*AL24,"")</f>
        <v>0</v>
      </c>
      <c r="AN24" s="19" t="s">
        <v>303</v>
      </c>
      <c r="AO24" s="17">
        <v>699000</v>
      </c>
      <c r="AQ24" s="18">
        <f>iferror(USD_GBP*lookup(if(AP24="",H24,AP24),{0,1,1000,15000},{0.0,0.007,0.007,0.006}),"")</f>
        <v>0</v>
      </c>
      <c r="AR24" s="18">
        <f>iferror(if(AP24="",H24,AP24)*AQ24,"")</f>
        <v>0</v>
      </c>
      <c r="AS24" s="19" t="s">
        <v>321</v>
      </c>
    </row>
    <row r="25" spans="1:50">
      <c r="A25" s="17" t="s">
        <v>102</v>
      </c>
      <c r="B25" s="17" t="s">
        <v>103</v>
      </c>
      <c r="C25" s="17" t="s">
        <v>104</v>
      </c>
      <c r="E25" s="17" t="s">
        <v>87</v>
      </c>
      <c r="F25" s="17" t="s">
        <v>88</v>
      </c>
      <c r="G25" s="17" t="s">
        <v>105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95335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19" t="s">
        <v>213</v>
      </c>
      <c r="U25" s="20" t="s">
        <v>197</v>
      </c>
      <c r="W25" s="18">
        <f>iferror(USD_GBP*lookup(if(V25="",H25,V25),{0,1,30000},{0.0,0.007,0.007}),"")</f>
        <v>0</v>
      </c>
      <c r="X25" s="18">
        <f>iferror(if(V25="",H25,V25)*W25,"")</f>
        <v>0</v>
      </c>
      <c r="Y25" s="19" t="s">
        <v>241</v>
      </c>
      <c r="AE25" s="17">
        <v>38452</v>
      </c>
      <c r="AG25" s="18">
        <f>iferror(lookup(if(AF25="",H25,AF25),{0,1,10,50,100,1000,10000},{0.0,0.1,0.029,0.029,0.012,0.006,0.004}),"")</f>
        <v>0</v>
      </c>
      <c r="AH25" s="18">
        <f>iferror(if(AF25="",H25,AF25)*AG25,"")</f>
        <v>0</v>
      </c>
      <c r="AI25" s="19" t="s">
        <v>277</v>
      </c>
      <c r="AJ25" s="20" t="s">
        <v>197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19" t="s">
        <v>304</v>
      </c>
      <c r="AO25" s="17">
        <v>28000</v>
      </c>
      <c r="AQ25" s="18">
        <f>iferror(USD_GBP*lookup(if(AP25="",H25,AP25),{0,1,1000,5000,10000,15000},{0.0,0.005,0.005,0.005,0.005,0.004}),"")</f>
        <v>0</v>
      </c>
      <c r="AR25" s="18">
        <f>iferror(if(AP25="",H25,AP25)*AQ25,"")</f>
        <v>0</v>
      </c>
      <c r="AS25" s="19" t="s">
        <v>322</v>
      </c>
    </row>
    <row r="26" spans="1:50">
      <c r="A26" s="17" t="s">
        <v>106</v>
      </c>
      <c r="B26" s="17" t="s">
        <v>107</v>
      </c>
      <c r="C26" s="17" t="s">
        <v>108</v>
      </c>
      <c r="E26" s="17" t="s">
        <v>87</v>
      </c>
      <c r="F26" s="17" t="s">
        <v>88</v>
      </c>
      <c r="G26" s="17" t="s">
        <v>109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35374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19" t="s">
        <v>214</v>
      </c>
      <c r="U26" s="20" t="s">
        <v>197</v>
      </c>
      <c r="W26" s="18">
        <f>iferror(USD_GBP*lookup(if(V26="",H26,V26),{0,1,30000},{0.0,0.0052,0.0052}),"")</f>
        <v>0</v>
      </c>
      <c r="X26" s="18">
        <f>iferror(if(V26="",H26,V26)*W26,"")</f>
        <v>0</v>
      </c>
      <c r="Y26" s="19" t="s">
        <v>242</v>
      </c>
      <c r="AE26" s="17">
        <v>76126</v>
      </c>
      <c r="AG26" s="18">
        <f>iferror(lookup(if(AF26="",H26,AF26),{0,1,10,50,100,1000,10000},{0.0,0.1,0.029,0.029,0.012,0.006,0.004}),"")</f>
        <v>0</v>
      </c>
      <c r="AH26" s="18">
        <f>iferror(if(AF26="",H26,AF26)*AG26,"")</f>
        <v>0</v>
      </c>
      <c r="AI26" s="19" t="s">
        <v>278</v>
      </c>
      <c r="AJ26" s="20" t="s">
        <v>197</v>
      </c>
      <c r="AL26" s="18">
        <f>iferror(lookup(if(AK26="",H26,AK26),{0,1,15000,30000},{0.0,0.005,0.005,0.004}),"")</f>
        <v>0</v>
      </c>
      <c r="AM26" s="18">
        <f>iferror(if(AK26="",H26,AK26)*AL26,"")</f>
        <v>0</v>
      </c>
      <c r="AN26" s="19" t="s">
        <v>305</v>
      </c>
    </row>
    <row r="27" spans="1:50">
      <c r="A27" s="17" t="s">
        <v>110</v>
      </c>
      <c r="B27" s="17" t="s">
        <v>111</v>
      </c>
      <c r="C27" s="17" t="s">
        <v>112</v>
      </c>
      <c r="E27" s="17" t="s">
        <v>87</v>
      </c>
      <c r="F27" s="17" t="s">
        <v>88</v>
      </c>
      <c r="G27" s="17" t="s">
        <v>113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198630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19" t="s">
        <v>215</v>
      </c>
      <c r="U27" s="20" t="s">
        <v>197</v>
      </c>
      <c r="W27" s="18">
        <f>iferror(USD_GBP*lookup(if(V27="",H27,V27),{0,1,30000},{0.0,0.0052,0.0052}),"")</f>
        <v>0</v>
      </c>
      <c r="X27" s="18">
        <f>iferror(if(V27="",H27,V27)*W27,"")</f>
        <v>0</v>
      </c>
      <c r="Y27" s="19" t="s">
        <v>243</v>
      </c>
      <c r="Z27" s="17">
        <v>14850</v>
      </c>
      <c r="AB27" s="18">
        <f>iferror(lookup(if(AA27="",H27,AA27),{0,1,50,500,1500,5000,25000,50000},{0.0,0.03493,0.03493,0.02618,0.02457,0.02296,0.02225,0.02189}),"")</f>
        <v>0</v>
      </c>
      <c r="AC27" s="18">
        <f>iferror(if(AA27="",H27,AA27)*AB27,"")</f>
        <v>0</v>
      </c>
      <c r="AD27" s="19" t="s">
        <v>259</v>
      </c>
      <c r="AE27" s="17">
        <v>36714</v>
      </c>
      <c r="AG27" s="18">
        <f>iferror(lookup(if(AF27="",H27,AF27),{0,1,10,50,100,1000,10000},{0.0,0.1,0.029,0.029,0.012,0.006,0.005}),"")</f>
        <v>0</v>
      </c>
      <c r="AH27" s="18">
        <f>iferror(if(AF27="",H27,AF27)*AG27,"")</f>
        <v>0</v>
      </c>
      <c r="AI27" s="19" t="s">
        <v>279</v>
      </c>
      <c r="AJ27" s="20" t="s">
        <v>197</v>
      </c>
      <c r="AL27" s="18">
        <f>iferror(lookup(if(AK27="",H27,AK27),{0,1,5000,10000,15000},{0.0,0.008,0.007,0.006,0.006}),"")</f>
        <v>0</v>
      </c>
      <c r="AM27" s="18">
        <f>iferror(if(AK27="",H27,AK27)*AL27,"")</f>
        <v>0</v>
      </c>
      <c r="AN27" s="19" t="s">
        <v>306</v>
      </c>
      <c r="AO27" s="17">
        <v>37000</v>
      </c>
      <c r="AQ27" s="18">
        <f>iferror(USD_GBP*lookup(if(AP27="",H27,AP27),{0,1,1000,5000,10000,15000},{0.0,0.004,0.004,0.004,0.004,0.004}),"")</f>
        <v>0</v>
      </c>
      <c r="AR27" s="18">
        <f>iferror(if(AP27="",H27,AP27)*AQ27,"")</f>
        <v>0</v>
      </c>
      <c r="AS27" s="19" t="s">
        <v>323</v>
      </c>
    </row>
    <row r="28" spans="1:50">
      <c r="A28" s="17" t="s">
        <v>114</v>
      </c>
      <c r="B28" s="17" t="s">
        <v>99</v>
      </c>
      <c r="C28" s="17" t="s">
        <v>115</v>
      </c>
      <c r="E28" s="17" t="s">
        <v>87</v>
      </c>
      <c r="F28" s="17" t="s">
        <v>88</v>
      </c>
      <c r="G28" s="17" t="s">
        <v>116</v>
      </c>
      <c r="H28" s="17">
        <f>BoardQty*3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9566</v>
      </c>
      <c r="R28" s="18">
        <f>iferror(lookup(if(Q28="",H28,Q28),{0,1,10,100,1000,2500,5000,15000},{0.0,0.1,0.028,0.0115,0.00518,0.0045,0.00371,0.00323}),"")</f>
        <v>0</v>
      </c>
      <c r="S28" s="18">
        <f>iferror(if(Q28="",H28,Q28)*R28,"")</f>
        <v>0</v>
      </c>
      <c r="T28" s="19" t="s">
        <v>216</v>
      </c>
      <c r="U28" s="20" t="s">
        <v>197</v>
      </c>
      <c r="W28" s="18">
        <f>iferror(USD_GBP*lookup(if(V28="",H28,V28),{0,1,30000},{0.0,0.0052,0.0052}),"")</f>
        <v>0</v>
      </c>
      <c r="X28" s="18">
        <f>iferror(if(V28="",H28,V28)*W28,"")</f>
        <v>0</v>
      </c>
      <c r="Y28" s="19" t="s">
        <v>244</v>
      </c>
      <c r="Z28" s="17">
        <v>3050</v>
      </c>
      <c r="AB28" s="18">
        <f>iferror(lookup(if(AA28="",H28,AA28),{0,1,50,500,1500,5000,25000,50000},{0.0,0.09872,0.09872,0.07373,0.06914,0.06455,0.06251,0.0615}),"")</f>
        <v>0</v>
      </c>
      <c r="AC28" s="18">
        <f>iferror(if(AA28="",H28,AA28)*AB28,"")</f>
        <v>0</v>
      </c>
      <c r="AD28" s="19" t="s">
        <v>260</v>
      </c>
      <c r="AE28" s="17">
        <v>240974</v>
      </c>
      <c r="AG28" s="18">
        <f>iferror(lookup(if(AF28="",H28,AF28),{0,1,10,50,100,1000,10000},{0.0,0.1,0.029,0.029,0.012,0.006,0.004}),"")</f>
        <v>0</v>
      </c>
      <c r="AH28" s="18">
        <f>iferror(if(AF28="",H28,AF28)*AG28,"")</f>
        <v>0</v>
      </c>
      <c r="AI28" s="19" t="s">
        <v>280</v>
      </c>
      <c r="AJ28" s="20" t="s">
        <v>197</v>
      </c>
      <c r="AL28" s="18">
        <f>iferror(lookup(if(AK28="",H28,AK28),{0,1,45000},{0.0,0.004,0.004}),"")</f>
        <v>0</v>
      </c>
      <c r="AM28" s="18">
        <f>iferror(if(AK28="",H28,AK28)*AL28,"")</f>
        <v>0</v>
      </c>
      <c r="AN28" s="19" t="s">
        <v>307</v>
      </c>
      <c r="AO28" s="17">
        <v>58000</v>
      </c>
      <c r="AQ28" s="18">
        <f>iferror(USD_GBP*lookup(if(AP28="",H28,AP28),{0,1,1000,5000,10000,15000},{0.0,0.011,0.011,0.009,0.008,0.006}),"")</f>
        <v>0</v>
      </c>
      <c r="AR28" s="18">
        <f>iferror(if(AP28="",H28,AP28)*AQ28,"")</f>
        <v>0</v>
      </c>
      <c r="AS28" s="19" t="s">
        <v>324</v>
      </c>
    </row>
    <row r="29" spans="1:50">
      <c r="A29" s="17" t="s">
        <v>117</v>
      </c>
      <c r="B29" s="17" t="s">
        <v>118</v>
      </c>
      <c r="C29" s="17" t="s">
        <v>119</v>
      </c>
      <c r="E29" s="17" t="s">
        <v>120</v>
      </c>
      <c r="F29" s="17" t="s">
        <v>121</v>
      </c>
      <c r="G29" s="17" t="s">
        <v>118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94253</v>
      </c>
      <c r="R29" s="18">
        <f>iferror(lookup(if(Q29="",H29,Q29),{0,1,10,25,100,250,500,1000,2500,8500,17000},{0.0,0.22,0.211,0.2,0.1819,0.171,0.15646,0.13099,0.12735,0.12007,0.11279}),"")</f>
        <v>0</v>
      </c>
      <c r="S29" s="18">
        <f>iferror(if(Q29="",H29,Q29)*R29,"")</f>
        <v>0</v>
      </c>
      <c r="T29" s="19" t="s">
        <v>217</v>
      </c>
      <c r="U29" s="17">
        <v>4297</v>
      </c>
      <c r="W29" s="18">
        <f>iferror(USD_GBP*lookup(if(V29="",H29,V29),{0,1,10,50,100,500},{0.0,0.155,0.155,0.146,0.133,0.123}),"")</f>
        <v>0</v>
      </c>
      <c r="X29" s="18">
        <f>iferror(if(V29="",H29,V29)*W29,"")</f>
        <v>0</v>
      </c>
      <c r="Y29" s="19" t="s">
        <v>245</v>
      </c>
      <c r="Z29" s="17">
        <v>16447</v>
      </c>
      <c r="AB29" s="18">
        <f>iferror(lookup(if(AA29="",H29,AA29),{0,1,10,30,100,500,1000},{0.0,1.3101,1.0067,0.9509,0.8952,0.8704,0.8582}),"")</f>
        <v>0</v>
      </c>
      <c r="AC29" s="18">
        <f>iferror(if(AA29="",H29,AA29)*AB29,"")</f>
        <v>0</v>
      </c>
      <c r="AD29" s="19" t="s">
        <v>261</v>
      </c>
      <c r="AE29" s="17">
        <v>5389</v>
      </c>
      <c r="AG29" s="18">
        <f>iferror(lookup(if(AF29="",H29,AF29),{0,1,10,50,100,1000,10000},{0.0,0.23,0.218,0.202,0.18,0.123,0.123}),"")</f>
        <v>0</v>
      </c>
      <c r="AH29" s="18">
        <f>iferror(if(AF29="",H29,AF29)*AG29,"")</f>
        <v>0</v>
      </c>
      <c r="AI29" s="19" t="s">
        <v>281</v>
      </c>
      <c r="AJ29" s="17">
        <v>6884</v>
      </c>
      <c r="AL29" s="18">
        <f>iferror(lookup(if(AK29="",H29,AK29),{0,1,8500,100000},{0.0,0.148,0.162,0.136}),"")</f>
        <v>0</v>
      </c>
      <c r="AM29" s="18">
        <f>iferror(if(AK29="",H29,AK29)*AL29,"")</f>
        <v>0</v>
      </c>
      <c r="AN29" s="19" t="s">
        <v>308</v>
      </c>
      <c r="AT29" s="17">
        <v>2865</v>
      </c>
      <c r="AV29" s="18">
        <f>iferror(USD_GBP*lookup(if(AU29="",H29,AU29),{0,1,5,100,1000,3000,8500},{0.0,0.174,0.174,0.1425,0.0961,0.0831,0.0814}),"")</f>
        <v>0</v>
      </c>
      <c r="AW29" s="18">
        <f>iferror(if(AU29="",H29,AU29)*AV29,"")</f>
        <v>0</v>
      </c>
      <c r="AX29" s="19" t="s">
        <v>332</v>
      </c>
    </row>
    <row r="30" spans="1:50">
      <c r="A30" s="17" t="s">
        <v>122</v>
      </c>
      <c r="B30" s="17" t="s">
        <v>123</v>
      </c>
      <c r="C30" s="17" t="s">
        <v>124</v>
      </c>
      <c r="E30" s="17" t="s">
        <v>125</v>
      </c>
      <c r="F30" s="17" t="s">
        <v>126</v>
      </c>
      <c r="G30" s="17" t="s">
        <v>123</v>
      </c>
      <c r="H30" s="17">
        <f>BoardQty*2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481</v>
      </c>
      <c r="R30" s="18">
        <f>iferror(lookup(if(Q30="",H30,Q30),{0,1,10,25,100,250,500,1000,3000,6000,15000},{0.0,0.46,0.343,0.3004,0.1945,0.161,0.1288,0.09874,0.08586,0.07727,0.07087}),"")</f>
        <v>0</v>
      </c>
      <c r="S30" s="18">
        <f>iferror(if(Q30="",H30,Q30)*R30,"")</f>
        <v>0</v>
      </c>
      <c r="T30" s="19" t="s">
        <v>218</v>
      </c>
      <c r="U30" s="17">
        <v>1937</v>
      </c>
      <c r="W30" s="18">
        <f>iferror(USD_GBP*lookup(if(V30="",H30,V30),{0,1,5,10,100,500},{0.0,0.543,0.543,0.397,0.18,0.103}),"")</f>
        <v>0</v>
      </c>
      <c r="X30" s="18">
        <f>iferror(if(V30="",H30,V30)*W30,"")</f>
        <v>0</v>
      </c>
      <c r="Y30" s="19" t="s">
        <v>246</v>
      </c>
      <c r="AE30" s="17">
        <v>7606</v>
      </c>
      <c r="AG30" s="18">
        <f>iferror(lookup(if(AF30="",H30,AF30),{0,1,10,50,100,1000,10000},{0.0,0.46,0.343,0.343,0.172,0.099,0.077}),"")</f>
        <v>0</v>
      </c>
      <c r="AH30" s="18">
        <f>iferror(if(AF30="",H30,AF30)*AG30,"")</f>
        <v>0</v>
      </c>
      <c r="AI30" s="19" t="s">
        <v>282</v>
      </c>
      <c r="AJ30" s="17">
        <v>1912</v>
      </c>
      <c r="AL30" s="18">
        <f>iferror(lookup(if(AK30="",H30,AK30),{0,1,5,10,100,6000,9000,18000,48000,90000},{0.0,0.399,0.399,0.326,0.151,0.065,0.065,0.061,0.056,0.053}),"")</f>
        <v>0</v>
      </c>
      <c r="AM30" s="18">
        <f>iferror(if(AK30="",H30,AK30)*AL30,"")</f>
        <v>0</v>
      </c>
      <c r="AN30" s="19" t="s">
        <v>309</v>
      </c>
      <c r="AO30" s="17">
        <v>3000</v>
      </c>
      <c r="AQ30" s="18">
        <f>iferror(USD_GBP*lookup(if(AP30="",H30,AP30),{0,1,30,120,1020,3000,9000,24000,45000,99000},{0.0,0.035,0.035,0.032,0.03,0.029,0.028,0.03,0.029,0.028}),"")</f>
        <v>0</v>
      </c>
      <c r="AR30" s="18">
        <f>iferror(if(AP30="",H30,AP30)*AQ30,"")</f>
        <v>0</v>
      </c>
      <c r="AS30" s="19" t="s">
        <v>325</v>
      </c>
    </row>
    <row r="31" spans="1:50">
      <c r="A31" s="17" t="s">
        <v>127</v>
      </c>
      <c r="B31" s="17" t="s">
        <v>128</v>
      </c>
      <c r="C31" s="17" t="s">
        <v>129</v>
      </c>
      <c r="E31" s="17" t="s">
        <v>130</v>
      </c>
      <c r="F31" s="17" t="s">
        <v>131</v>
      </c>
      <c r="G31" s="17" t="s">
        <v>128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20" t="s">
        <v>197</v>
      </c>
      <c r="R31" s="18">
        <f>iferror(lookup(if(Q31="",H31,Q31),{0,1,25,100,2000},{0.0,6.0,5.25,5.005,5.005}),"")</f>
        <v>0</v>
      </c>
      <c r="S31" s="18">
        <f>iferror(if(Q31="",H31,Q31)*R31,"")</f>
        <v>0</v>
      </c>
      <c r="T31" s="19" t="s">
        <v>219</v>
      </c>
      <c r="U31" s="20" t="s">
        <v>197</v>
      </c>
      <c r="W31" s="18">
        <f>iferror(USD_GBP*lookup(if(V31="",H31,V31),{0,1,25,100,150},{0.0,4.86,4.26,4.06,4.06}),"")</f>
        <v>0</v>
      </c>
      <c r="X31" s="18">
        <f>iferror(if(V31="",H31,V31)*W31,"")</f>
        <v>0</v>
      </c>
      <c r="Y31" s="19" t="s">
        <v>247</v>
      </c>
      <c r="AE31" s="17">
        <v>8369</v>
      </c>
      <c r="AG31" s="18">
        <f>iferror(lookup(if(AF31="",H31,AF31),{0,1,10,50,100,1000,10000},{0.0,6.06,6.06,5.31,5.06,5.06,5.05}),"")</f>
        <v>0</v>
      </c>
      <c r="AH31" s="18">
        <f>iferror(if(AF31="",H31,AF31)*AG31,"")</f>
        <v>0</v>
      </c>
      <c r="AI31" s="19" t="s">
        <v>283</v>
      </c>
      <c r="AJ31" s="20" t="s">
        <v>197</v>
      </c>
      <c r="AL31" s="18">
        <f>iferror(lookup(if(AK31="",H31,AK31),{0,1,10,25,2000,4000,8000,12000},{0.0,5.56,6.03,5.77,5.43,5.27,4.95,4.72}),"")</f>
        <v>0</v>
      </c>
      <c r="AM31" s="18">
        <f>iferror(if(AK31="",H31,AK31)*AL31,"")</f>
        <v>0</v>
      </c>
      <c r="AN31" s="19" t="s">
        <v>310</v>
      </c>
    </row>
    <row r="32" spans="1:50">
      <c r="A32" s="17" t="s">
        <v>132</v>
      </c>
      <c r="B32" s="17" t="s">
        <v>133</v>
      </c>
      <c r="C32" s="17" t="s">
        <v>134</v>
      </c>
      <c r="E32" s="17" t="s">
        <v>125</v>
      </c>
      <c r="F32" s="17" t="s">
        <v>126</v>
      </c>
      <c r="G32" s="17" t="s">
        <v>133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197</v>
      </c>
      <c r="R32" s="18">
        <f>iferror(lookup(if(Q32="",H32,Q32),{0,1,10,25,100,250,500,1000,3000},{0.0,0.47,0.402,0.3756,0.3004,0.27892,0.236,0.18236,0.1771}),"")</f>
        <v>0</v>
      </c>
      <c r="S32" s="18">
        <f>iferror(if(Q32="",H32,Q32)*R32,"")</f>
        <v>0</v>
      </c>
      <c r="T32" s="19" t="s">
        <v>220</v>
      </c>
      <c r="U32" s="20" t="s">
        <v>197</v>
      </c>
      <c r="W32" s="18">
        <f>iferror(USD_GBP*lookup(if(V32="",H32,V32),{0,1,5,10,100,150,500},{0.0,0.554,0.554,0.464,0.286,0.286,0.189}),"")</f>
        <v>0</v>
      </c>
      <c r="X32" s="18">
        <f>iferror(if(V32="",H32,V32)*W32,"")</f>
        <v>0</v>
      </c>
      <c r="Y32" s="19" t="s">
        <v>248</v>
      </c>
      <c r="AE32" s="17">
        <v>36882</v>
      </c>
      <c r="AG32" s="18">
        <f>iferror(lookup(if(AF32="",H32,AF32),{0,1,10,50,100,1000,10000},{0.0,0.47,0.376,0.376,0.279,0.183,0.166}),"")</f>
        <v>0</v>
      </c>
      <c r="AH32" s="18">
        <f>iferror(if(AF32="",H32,AF32)*AG32,"")</f>
        <v>0</v>
      </c>
      <c r="AI32" s="19" t="s">
        <v>284</v>
      </c>
      <c r="AJ32" s="20" t="s">
        <v>197</v>
      </c>
      <c r="AL32" s="18">
        <f>iferror(lookup(if(AK32="",H32,AK32),{0,1,5,10,100,3000,6000,12000,18000,24000},{0.0,0.646,0.646,0.538,0.384,0.146,0.143,0.14,0.138,0.136}),"")</f>
        <v>0</v>
      </c>
      <c r="AM32" s="18">
        <f>iferror(if(AK32="",H32,AK32)*AL32,"")</f>
        <v>0</v>
      </c>
      <c r="AN32" s="19" t="s">
        <v>311</v>
      </c>
      <c r="AO32" s="17">
        <v>12</v>
      </c>
      <c r="AQ32" s="18">
        <f>iferror(USD_GBP*lookup(if(AP32="",H32,AP32),{0,1,18,108,1008,3000,3006,9000},{0.0,0.317,0.317,0.162,0.122,0.131,0.101,0.147}),"")</f>
        <v>0</v>
      </c>
      <c r="AR32" s="18">
        <f>iferror(if(AP32="",H32,AP32)*AQ32,"")</f>
        <v>0</v>
      </c>
      <c r="AS32" s="19" t="s">
        <v>326</v>
      </c>
    </row>
    <row r="33" spans="1:50">
      <c r="A33" s="17" t="s">
        <v>135</v>
      </c>
      <c r="B33" s="17" t="s">
        <v>136</v>
      </c>
      <c r="C33" s="17" t="s">
        <v>137</v>
      </c>
      <c r="E33" s="17" t="s">
        <v>138</v>
      </c>
      <c r="F33" s="17" t="s">
        <v>139</v>
      </c>
      <c r="G33" s="17" t="s">
        <v>136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197</v>
      </c>
      <c r="R33" s="18">
        <f>iferror(lookup(if(Q33="",H33,Q33),{0,1,2000},{0.0,1.61,1.61}),"")</f>
        <v>0</v>
      </c>
      <c r="S33" s="18">
        <f>iferror(if(Q33="",H33,Q33)*R33,"")</f>
        <v>0</v>
      </c>
      <c r="T33" s="19" t="s">
        <v>221</v>
      </c>
      <c r="Z33" s="17">
        <v>1934</v>
      </c>
      <c r="AB33" s="18">
        <f>iferror(lookup(if(AA33="",H33,AA33),{0,1,10,30,100,500,1000},{0.0,7.58,5.55,5.18,4.8,4.64,4.56}),"")</f>
        <v>0</v>
      </c>
      <c r="AC33" s="18">
        <f>iferror(if(AA33="",H33,AA33)*AB33,"")</f>
        <v>0</v>
      </c>
      <c r="AD33" s="19" t="s">
        <v>262</v>
      </c>
      <c r="AE33" s="17">
        <v>627</v>
      </c>
      <c r="AG33" s="18">
        <f>iferror(lookup(if(AF33="",H33,AF33),{0,1,10,50,100,1000,10000},{0.0,2.87,2.59,2.44,2.08,1.42,1.41}),"")</f>
        <v>0</v>
      </c>
      <c r="AH33" s="18">
        <f>iferror(if(AF33="",H33,AF33)*AG33,"")</f>
        <v>0</v>
      </c>
      <c r="AI33" s="19" t="s">
        <v>285</v>
      </c>
    </row>
    <row r="34" spans="1:50">
      <c r="A34" s="17" t="s">
        <v>140</v>
      </c>
      <c r="B34" s="17" t="s">
        <v>141</v>
      </c>
      <c r="C34" s="17" t="s">
        <v>142</v>
      </c>
      <c r="D34" s="17" t="s">
        <v>145</v>
      </c>
      <c r="E34" s="17" t="s">
        <v>143</v>
      </c>
      <c r="F34" s="17" t="s">
        <v>144</v>
      </c>
      <c r="G34" s="17" t="s">
        <v>141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197</v>
      </c>
      <c r="R34" s="18">
        <f>iferror(lookup(if(Q34="",H34,Q34),{0,1,10},{0.0,3.9,3.85}),"")</f>
        <v>0</v>
      </c>
      <c r="S34" s="18">
        <f>iferror(if(Q34="",H34,Q34)*R34,"")</f>
        <v>0</v>
      </c>
      <c r="T34" s="19" t="s">
        <v>222</v>
      </c>
      <c r="U34" s="20" t="s">
        <v>197</v>
      </c>
      <c r="W34" s="18">
        <f>iferror(USD_GBP*lookup(if(V34="",H34,V34),{0,1,10,25,50},{0.0,3.86,3.11,2.93,2.87}),"")</f>
        <v>0</v>
      </c>
      <c r="X34" s="18">
        <f>iferror(if(V34="",H34,V34)*W34,"")</f>
        <v>0</v>
      </c>
      <c r="Y34" s="19" t="s">
        <v>249</v>
      </c>
      <c r="AE34" s="20" t="s">
        <v>197</v>
      </c>
      <c r="AG34" s="18">
        <f>iferror(lookup(if(AF34="",H34,AF34),{0,1,10,50,100,1000,10000},{0.0,3.93,3.54,3.34,2.9,2.8,2.79}),"")</f>
        <v>0</v>
      </c>
      <c r="AH34" s="18">
        <f>iferror(if(AF34="",H34,AF34)*AG34,"")</f>
        <v>0</v>
      </c>
      <c r="AI34" s="19" t="s">
        <v>286</v>
      </c>
      <c r="AJ34" s="20" t="s">
        <v>197</v>
      </c>
      <c r="AL34" s="18">
        <f>iferror(lookup(if(AK34="",H34,AK34),{0,1,10,2450},{0.0,4.07,4.03,4.03}),"")</f>
        <v>0</v>
      </c>
      <c r="AM34" s="18">
        <f>iferror(if(AK34="",H34,AK34)*AL34,"")</f>
        <v>0</v>
      </c>
      <c r="AN34" s="19" t="s">
        <v>312</v>
      </c>
    </row>
    <row r="35" spans="1:50">
      <c r="A35" s="17" t="s">
        <v>146</v>
      </c>
      <c r="B35" s="17" t="s">
        <v>147</v>
      </c>
      <c r="C35" s="17" t="s">
        <v>148</v>
      </c>
      <c r="E35" s="17" t="s">
        <v>149</v>
      </c>
      <c r="F35" s="17" t="s">
        <v>126</v>
      </c>
      <c r="G35" s="17" t="s">
        <v>150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197</v>
      </c>
      <c r="R35" s="18">
        <f>iferror(lookup(if(Q35="",H35,Q35),{0,1,10,25,50,100,250,500,1000,4000,8000,12000,28000},{0.0,0.26,0.239,0.228,0.2208,0.2134,0.2024,0.16928,0.13138,0.12512,0.11776,0.1104,0.10304}),"")</f>
        <v>0</v>
      </c>
      <c r="S35" s="18">
        <f>iferror(if(Q35="",H35,Q35)*R35,"")</f>
        <v>0</v>
      </c>
      <c r="T35" s="19" t="s">
        <v>223</v>
      </c>
      <c r="U35" s="17">
        <v>110</v>
      </c>
      <c r="W35" s="18">
        <f>iferror(USD_GBP*lookup(if(V35="",H35,V35),{0,1,5,10,100,150,500},{0.0,0.531,0.531,0.424,0.258,0.258,0.144}),"")</f>
        <v>0</v>
      </c>
      <c r="X35" s="18">
        <f>iferror(if(V35="",H35,V35)*W35,"")</f>
        <v>0</v>
      </c>
      <c r="Y35" s="19" t="s">
        <v>250</v>
      </c>
      <c r="AE35" s="20" t="s">
        <v>197</v>
      </c>
      <c r="AG35" s="18">
        <f>iferror(lookup(if(AF35="",H35,AF35),{0,1,10,50,100,1000,10000},{0.0,0.45,0.367,0.367,0.25,0.141,0.117}),"")</f>
        <v>0</v>
      </c>
      <c r="AH35" s="18">
        <f>iferror(if(AF35="",H35,AF35)*AG35,"")</f>
        <v>0</v>
      </c>
      <c r="AI35" s="19" t="s">
        <v>287</v>
      </c>
      <c r="AJ35" s="20" t="s">
        <v>197</v>
      </c>
      <c r="AL35" s="18">
        <f>iferror(lookup(if(AK35="",H35,AK35),{0,1,10,100,3000,4000,6000,8000,12000,18000,30000},{0.0,0.156,0.258,0.232,0.149,0.131,0.133,0.133,0.121,0.113,0.105}),"")</f>
        <v>0</v>
      </c>
      <c r="AM35" s="18">
        <f>iferror(if(AK35="",H35,AK35)*AL35,"")</f>
        <v>0</v>
      </c>
      <c r="AN35" s="19" t="s">
        <v>313</v>
      </c>
      <c r="AO35" s="17">
        <v>2400</v>
      </c>
      <c r="AQ35" s="18">
        <f>iferror(USD_GBP*lookup(if(AP35="",H35,AP35),{0,1,50,100,1000,4000,8000,24000,48000,100000},{0.0,0.288,0.288,0.222,0.214,0.2,0.18,0.096,0.088,0.085}),"")</f>
        <v>0</v>
      </c>
      <c r="AR35" s="18">
        <f>iferror(if(AP35="",H35,AP35)*AQ35,"")</f>
        <v>0</v>
      </c>
      <c r="AS35" s="19" t="s">
        <v>327</v>
      </c>
      <c r="AT35" s="20" t="s">
        <v>197</v>
      </c>
      <c r="AV35" s="18">
        <f>iferror(USD_GBP*lookup(if(AU35="",H35,AU35),{0,1,5,25,100,500,2000},{0.0,0.174,0.174,0.1512,0.131,0.11449,0.10686}),"")</f>
        <v>0</v>
      </c>
      <c r="AW35" s="18">
        <f>iferror(if(AU35="",H35,AU35)*AV35,"")</f>
        <v>0</v>
      </c>
      <c r="AX35" s="19" t="s">
        <v>150</v>
      </c>
    </row>
    <row r="36" spans="1:50">
      <c r="A36" s="17" t="s">
        <v>151</v>
      </c>
      <c r="B36" s="17" t="s">
        <v>152</v>
      </c>
      <c r="C36" s="17" t="s">
        <v>153</v>
      </c>
      <c r="E36" s="17" t="s">
        <v>154</v>
      </c>
      <c r="F36" s="17" t="s">
        <v>155</v>
      </c>
      <c r="G36" s="17" t="s">
        <v>152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99406</v>
      </c>
      <c r="R36" s="18">
        <f>iferror(lookup(if(Q36="",H36,Q36),{0,1,25,100,3000},{0.0,0.66,0.56,0.54,0.54}),"")</f>
        <v>0</v>
      </c>
      <c r="S36" s="18">
        <f>iferror(if(Q36="",H36,Q36)*R36,"")</f>
        <v>0</v>
      </c>
      <c r="T36" s="19" t="s">
        <v>224</v>
      </c>
      <c r="U36" s="17">
        <v>4388</v>
      </c>
      <c r="W36" s="18">
        <f>iferror(USD_GBP*lookup(if(V36="",H36,V36),{0,1,25,100,150},{0.0,0.806,0.623,0.535,0.535}),"")</f>
        <v>0</v>
      </c>
      <c r="X36" s="18">
        <f>iferror(if(V36="",H36,V36)*W36,"")</f>
        <v>0</v>
      </c>
      <c r="Y36" s="19" t="s">
        <v>251</v>
      </c>
      <c r="AE36" s="17">
        <v>15130</v>
      </c>
      <c r="AG36" s="18">
        <f>iferror(lookup(if(AF36="",H36,AF36),{0,1,10,50,100,1000,10000},{0.0,0.66,0.66,0.56,0.522,0.522,0.522}),"")</f>
        <v>0</v>
      </c>
      <c r="AH36" s="18">
        <f>iferror(if(AF36="",H36,AF36)*AG36,"")</f>
        <v>0</v>
      </c>
      <c r="AI36" s="19" t="s">
        <v>288</v>
      </c>
      <c r="AJ36" s="17">
        <v>2970</v>
      </c>
      <c r="AL36" s="18">
        <f>iferror(lookup(if(AK36="",H36,AK36),{0,1,10,25,3000},{0.0,0.866,0.798,0.729,0.528}),"")</f>
        <v>0</v>
      </c>
      <c r="AM36" s="18">
        <f>iferror(if(AK36="",H36,AK36)*AL36,"")</f>
        <v>0</v>
      </c>
      <c r="AN36" s="19" t="s">
        <v>314</v>
      </c>
      <c r="AO36" s="17">
        <v>1660</v>
      </c>
      <c r="AQ36" s="18">
        <f>iferror(USD_GBP*lookup(if(AP36="",H36,AP36),{0,1,20,40,100,3000},{0.0,0.481,0.481,0.46,0.415,0.384}),"")</f>
        <v>0</v>
      </c>
      <c r="AR36" s="18">
        <f>iferror(if(AP36="",H36,AP36)*AQ36,"")</f>
        <v>0</v>
      </c>
      <c r="AS36" s="19" t="s">
        <v>328</v>
      </c>
      <c r="AT36" s="20" t="s">
        <v>197</v>
      </c>
      <c r="AV36" s="18">
        <f>iferror(USD_GBP*lookup(if(AU36="",H36,AU36),{0,1,10,25,100},{0.0,0.61,0.57,0.51,0.46}),"")</f>
        <v>0</v>
      </c>
      <c r="AW36" s="18">
        <f>iferror(if(AU36="",H36,AU36)*AV36,"")</f>
        <v>0</v>
      </c>
      <c r="AX36" s="19" t="s">
        <v>333</v>
      </c>
    </row>
    <row r="37" spans="1:50">
      <c r="A37" s="17" t="s">
        <v>156</v>
      </c>
      <c r="B37" s="17" t="s">
        <v>157</v>
      </c>
      <c r="C37" s="17" t="s">
        <v>158</v>
      </c>
      <c r="D37" s="17" t="s">
        <v>161</v>
      </c>
      <c r="E37" s="17" t="s">
        <v>159</v>
      </c>
      <c r="F37" s="17" t="s">
        <v>160</v>
      </c>
      <c r="G37" s="17" t="s">
        <v>157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</row>
    <row r="38" spans="1:50">
      <c r="A38" s="17" t="s">
        <v>162</v>
      </c>
      <c r="B38" s="17" t="s">
        <v>163</v>
      </c>
      <c r="C38" s="17" t="s">
        <v>164</v>
      </c>
      <c r="D38" s="17" t="s">
        <v>167</v>
      </c>
      <c r="E38" s="17" t="s">
        <v>165</v>
      </c>
      <c r="F38" s="17" t="s">
        <v>166</v>
      </c>
      <c r="G38" s="17" t="s">
        <v>163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7">
        <v>4790</v>
      </c>
      <c r="R38" s="18">
        <f>iferror(lookup(if(Q38="",H38,Q38),{0,1,10,25,50,100,250,500,1000,5000},{0.0,1.97,1.798,1.7496,1.7408,1.556,1.55152,1.5281,1.46322,1.36231}),"")</f>
        <v>0</v>
      </c>
      <c r="S38" s="18">
        <f>iferror(if(Q38="",H38,Q38)*R38,"")</f>
        <v>0</v>
      </c>
      <c r="T38" s="19" t="s">
        <v>225</v>
      </c>
    </row>
    <row r="39" spans="1:50">
      <c r="A39" s="17" t="s">
        <v>168</v>
      </c>
      <c r="B39" s="17" t="s">
        <v>169</v>
      </c>
      <c r="C39" s="17" t="s">
        <v>170</v>
      </c>
      <c r="D39" s="17" t="s">
        <v>173</v>
      </c>
      <c r="E39" s="17" t="s">
        <v>171</v>
      </c>
      <c r="F39" s="17" t="s">
        <v>172</v>
      </c>
      <c r="G39" s="17" t="s">
        <v>169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7">
        <v>1244</v>
      </c>
      <c r="R39" s="18">
        <f>iferror(lookup(if(Q39="",H39,Q39),{0,1,10,50,100,500,1000,3000},{0.0,1.62,1.548,1.512,1.296,1.26,1.062,1.008}),"")</f>
        <v>0</v>
      </c>
      <c r="S39" s="18">
        <f>iferror(if(Q39="",H39,Q39)*R39,"")</f>
        <v>0</v>
      </c>
      <c r="T39" s="19" t="s">
        <v>226</v>
      </c>
      <c r="U39" s="17">
        <v>2835</v>
      </c>
      <c r="W39" s="18">
        <f>iferror(USD_GBP*lookup(if(V39="",H39,V39),{0,1,5,10,50,250,500,1500},{0.0,1.28,1.28,1.28,1.07,0.968,0.945,0.922}),"")</f>
        <v>0</v>
      </c>
      <c r="X39" s="18">
        <f>iferror(if(V39="",H39,V39)*W39,"")</f>
        <v>0</v>
      </c>
      <c r="Y39" s="19" t="s">
        <v>252</v>
      </c>
      <c r="AE39" s="17">
        <v>8090</v>
      </c>
      <c r="AG39" s="18">
        <f>iferror(lookup(if(AF39="",H39,AF39),{0,1,10,50,100,1000,10000},{0.0,1.8,1.72,1.68,1.44,1.15,1.08}),"")</f>
        <v>0</v>
      </c>
      <c r="AH39" s="18">
        <f>iferror(if(AF39="",H39,AF39)*AG39,"")</f>
        <v>0</v>
      </c>
      <c r="AI39" s="19" t="s">
        <v>289</v>
      </c>
      <c r="AJ39" s="17">
        <v>2945</v>
      </c>
      <c r="AL39" s="18">
        <f>iferror(lookup(if(AK39="",H39,AK39),{0,1,5,10,25,50,100,1000,2000,3000,4000,6000,10000},{0.0,2.48,2.48,2.36,2.34,2.31,1.98,1.34,1.28,1.28,1.17,1.12,1.09}),"")</f>
        <v>0</v>
      </c>
      <c r="AM39" s="18">
        <f>iferror(if(AK39="",H39,AK39)*AL39,"")</f>
        <v>0</v>
      </c>
      <c r="AN39" s="19" t="s">
        <v>315</v>
      </c>
    </row>
    <row r="41" spans="1:50">
      <c r="B41" s="21" t="s">
        <v>176</v>
      </c>
      <c r="I41" s="1" t="s">
        <v>174</v>
      </c>
      <c r="J41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1" s="19" t="s">
        <v>193</v>
      </c>
      <c r="L41" s="6">
        <f>IFERROR(IF(OR(L7:L39),COUNTIFS(L7:L39,"&gt;0",N7:N39,"&lt;&gt;")&amp;" of "&amp;(ROWS(N7:N39)-COUNTBLANK(N7:N39))&amp;" parts purchased",""),"")</f>
        <v>0</v>
      </c>
      <c r="N41" s="5">
        <f>SUMIF(L7:L39,"&gt;0",N7:N39)</f>
        <v>0</v>
      </c>
      <c r="P41" s="19" t="s">
        <v>193</v>
      </c>
      <c r="Q41" s="6">
        <f>IFERROR(IF(OR(Q7:Q39),COUNTIFS(Q7:Q39,"&gt;0",S7:S39,"&lt;&gt;")&amp;" of "&amp;(ROWS(S7:S39)-COUNTBLANK(S7:S39))&amp;" parts purchased",""),"")</f>
        <v>0</v>
      </c>
      <c r="S41" s="5">
        <f>SUMIF(Q7:Q39,"&gt;0",S7:S39)</f>
        <v>0</v>
      </c>
      <c r="U41" s="19" t="s">
        <v>193</v>
      </c>
      <c r="V41" s="6">
        <f>IFERROR(IF(OR(V7:V39),COUNTIFS(V7:V39,"&gt;0",X7:X39,"&lt;&gt;")&amp;" of "&amp;(ROWS(X7:X39)-COUNTBLANK(X7:X39))&amp;" parts purchased",""),"")</f>
        <v>0</v>
      </c>
      <c r="X41" s="5">
        <f>SUMIF(V7:V39,"&gt;0",X7:X39)</f>
        <v>0</v>
      </c>
      <c r="Z41" s="19" t="s">
        <v>193</v>
      </c>
      <c r="AA41" s="6">
        <f>IFERROR(IF(OR(AA7:AA39),COUNTIFS(AA7:AA39,"&gt;0",AC7:AC39,"&lt;&gt;")&amp;" of "&amp;(ROWS(AC7:AC39)-COUNTBLANK(AC7:AC39))&amp;" parts purchased",""),"")</f>
        <v>0</v>
      </c>
      <c r="AC41" s="5">
        <f>SUMIF(AA7:AA39,"&gt;0",AC7:AC39)</f>
        <v>0</v>
      </c>
      <c r="AE41" s="19" t="s">
        <v>193</v>
      </c>
      <c r="AF41" s="6">
        <f>IFERROR(IF(OR(AF7:AF39),COUNTIFS(AF7:AF39,"&gt;0",AH7:AH39,"&lt;&gt;")&amp;" of "&amp;(ROWS(AH7:AH39)-COUNTBLANK(AH7:AH39))&amp;" parts purchased",""),"")</f>
        <v>0</v>
      </c>
      <c r="AH41" s="5">
        <f>SUMIF(AF7:AF39,"&gt;0",AH7:AH39)</f>
        <v>0</v>
      </c>
      <c r="AJ41" s="19" t="s">
        <v>193</v>
      </c>
      <c r="AK41" s="6">
        <f>IFERROR(IF(OR(AK7:AK39),COUNTIFS(AK7:AK39,"&gt;0",AM7:AM39,"&lt;&gt;")&amp;" of "&amp;(ROWS(AM7:AM39)-COUNTBLANK(AM7:AM39))&amp;" parts purchased",""),"")</f>
        <v>0</v>
      </c>
      <c r="AM41" s="5">
        <f>SUMIF(AK7:AK39,"&gt;0",AM7:AM39)</f>
        <v>0</v>
      </c>
      <c r="AO41" s="19" t="s">
        <v>193</v>
      </c>
      <c r="AP41" s="6">
        <f>IFERROR(IF(OR(AP7:AP39),COUNTIFS(AP7:AP39,"&gt;0",AR7:AR39,"&lt;&gt;")&amp;" of "&amp;(ROWS(AR7:AR39)-COUNTBLANK(AR7:AR39))&amp;" parts purchased",""),"")</f>
        <v>0</v>
      </c>
      <c r="AR41" s="5">
        <f>SUMIF(AP7:AP39,"&gt;0",AR7:AR39)</f>
        <v>0</v>
      </c>
      <c r="AT41" s="19" t="s">
        <v>193</v>
      </c>
      <c r="AU41" s="6">
        <f>IFERROR(IF(OR(AU7:AU39),COUNTIFS(AU7:AU39,"&gt;0",AW7:AW39,"&lt;&gt;")&amp;" of "&amp;(ROWS(AW7:AW39)-COUNTBLANK(AW7:AW39))&amp;" parts purchased",""),"")</f>
        <v>0</v>
      </c>
      <c r="AW41" s="5">
        <f>SUMIF(AU7:AU39,"&gt;0",AW7:AW39)</f>
        <v>0</v>
      </c>
    </row>
    <row r="42" spans="1:50">
      <c r="B42" s="21" t="s">
        <v>177</v>
      </c>
      <c r="C42">
        <v>1.293904700565222</v>
      </c>
      <c r="I42" s="21" t="s">
        <v>175</v>
      </c>
      <c r="L42">
        <f t="array" ref="L4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2">
        <f t="array" ref="Q4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2">
        <f t="array" ref="V42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2" s="6">
        <f>IFERROR(IF(COUNTIFS(AA7:AA39,"&gt;0",AC7:AC39,"&lt;&gt;")&gt;0,"Quantity,Comment,Designator,Footprint,LCSC Part #(optional)",""),"")</f>
        <v>0</v>
      </c>
      <c r="AF42">
        <f t="array" ref="AF4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2">
        <f t="array" ref="AK4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2">
        <f t="array" ref="AP42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2">
        <f t="array" ref="AU4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3" spans="1:50">
      <c r="L43">
        <f t="array" ref="L4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3">
        <f t="array" ref="Q4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3">
        <f t="array" ref="V43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3">
        <f t="array" ref="AA4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3">
        <f t="array" ref="AF4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3">
        <f t="array" ref="AK4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3">
        <f t="array" ref="AP43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3">
        <f t="array" ref="AU4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4" spans="1:50">
      <c r="A44" s="2" t="s">
        <v>334</v>
      </c>
      <c r="L44">
        <f t="array" ref="L4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4">
        <f t="array" ref="Q4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4">
        <f t="array" ref="V44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4">
        <f t="array" ref="AA4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4">
        <f t="array" ref="AF4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4">
        <f t="array" ref="AK4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4">
        <f t="array" ref="AP44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4">
        <f t="array" ref="AU4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5" spans="1:50">
      <c r="L45">
        <f t="array" ref="L4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5">
        <f t="array" ref="Q4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5">
        <f t="array" ref="V45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5">
        <f t="array" ref="AA4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5">
        <f t="array" ref="AF4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5">
        <f t="array" ref="AK4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5">
        <f t="array" ref="AP45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5">
        <f t="array" ref="AU4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6" spans="1:50">
      <c r="L46">
        <f t="array" ref="L4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6">
        <f t="array" ref="Q4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6">
        <f t="array" ref="V46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6">
        <f t="array" ref="AA4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6">
        <f t="array" ref="AF4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6">
        <f t="array" ref="AK4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6">
        <f t="array" ref="AP46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6">
        <f t="array" ref="AU4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7" spans="1:50">
      <c r="L47">
        <f t="array" ref="L4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7">
        <f t="array" ref="Q4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7">
        <f t="array" ref="V47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7">
        <f t="array" ref="AA4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7">
        <f t="array" ref="AF4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7">
        <f t="array" ref="AK4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7">
        <f t="array" ref="AP47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7">
        <f t="array" ref="AU4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8" spans="1:50">
      <c r="L48">
        <f t="array" ref="L4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8">
        <f t="array" ref="Q4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8">
        <f t="array" ref="V48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8">
        <f t="array" ref="AA4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8">
        <f t="array" ref="AF4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8">
        <f t="array" ref="AK4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8">
        <f t="array" ref="AP48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8">
        <f t="array" ref="AU4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9" spans="12:47">
      <c r="L49">
        <f t="array" ref="L4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9">
        <f t="array" ref="Q4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9">
        <f t="array" ref="V49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49">
        <f t="array" ref="AA4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9">
        <f t="array" ref="AF4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9">
        <f t="array" ref="AK4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49">
        <f t="array" ref="AP49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49">
        <f t="array" ref="AU4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0" spans="12:47">
      <c r="L50">
        <f t="array" ref="L5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0">
        <f t="array" ref="Q5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0">
        <f t="array" ref="V50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0">
        <f t="array" ref="AA5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0">
        <f t="array" ref="AF5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0">
        <f t="array" ref="AK5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0">
        <f t="array" ref="AP50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0">
        <f t="array" ref="AU5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1" spans="12:47">
      <c r="L51">
        <f t="array" ref="L5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1">
        <f t="array" ref="Q5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1">
        <f t="array" ref="V51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1">
        <f t="array" ref="AA5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1">
        <f t="array" ref="AF5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1">
        <f t="array" ref="AK5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1">
        <f t="array" ref="AP51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1">
        <f t="array" ref="AU5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2" spans="12:47">
      <c r="L52">
        <f t="array" ref="L5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2">
        <f t="array" ref="Q5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2">
        <f t="array" ref="V52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2">
        <f t="array" ref="AA5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2">
        <f t="array" ref="AF5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2">
        <f t="array" ref="AK5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2">
        <f t="array" ref="AP52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2">
        <f t="array" ref="AU5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3" spans="12:47">
      <c r="L53">
        <f t="array" ref="L5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3">
        <f t="array" ref="Q5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3">
        <f t="array" ref="V53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3">
        <f t="array" ref="AA5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3">
        <f t="array" ref="AF5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3">
        <f t="array" ref="AK5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3">
        <f t="array" ref="AP53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3">
        <f t="array" ref="AU5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4" spans="12:47">
      <c r="L54">
        <f t="array" ref="L5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4">
        <f t="array" ref="Q5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4">
        <f t="array" ref="V54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4">
        <f t="array" ref="AA5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4">
        <f t="array" ref="AF5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4">
        <f t="array" ref="AK5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4">
        <f t="array" ref="AP54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4">
        <f t="array" ref="AU5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5" spans="12:47">
      <c r="L55">
        <f t="array" ref="L5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5">
        <f t="array" ref="Q5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5">
        <f t="array" ref="V55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5">
        <f t="array" ref="AA5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5">
        <f t="array" ref="AF5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5">
        <f t="array" ref="AK5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5">
        <f t="array" ref="AP55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5">
        <f t="array" ref="AU5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6" spans="12:47">
      <c r="L56">
        <f t="array" ref="L5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6">
        <f t="array" ref="Q5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6">
        <f t="array" ref="V56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6">
        <f t="array" ref="AA5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6">
        <f t="array" ref="AF5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6">
        <f t="array" ref="AK5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6">
        <f t="array" ref="AP56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6">
        <f t="array" ref="AU5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7" spans="12:47">
      <c r="L57">
        <f t="array" ref="L5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7">
        <f t="array" ref="Q5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7">
        <f t="array" ref="V57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7">
        <f t="array" ref="AA5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7">
        <f t="array" ref="AF5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7">
        <f t="array" ref="AK5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7">
        <f t="array" ref="AP57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7">
        <f t="array" ref="AU5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8" spans="12:47">
      <c r="L58">
        <f t="array" ref="L5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8">
        <f t="array" ref="Q5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8">
        <f t="array" ref="V58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8">
        <f t="array" ref="AA5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8">
        <f t="array" ref="AF5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8">
        <f t="array" ref="AK5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8">
        <f t="array" ref="AP58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8">
        <f t="array" ref="AU5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9" spans="12:47">
      <c r="L59">
        <f t="array" ref="L5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9">
        <f t="array" ref="Q5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9">
        <f t="array" ref="V59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59">
        <f t="array" ref="AA5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9">
        <f t="array" ref="AF5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9">
        <f t="array" ref="AK5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59">
        <f t="array" ref="AP59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59">
        <f t="array" ref="AU5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0" spans="12:47">
      <c r="L60">
        <f t="array" ref="L6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0">
        <f t="array" ref="Q6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0">
        <f t="array" ref="V60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0">
        <f t="array" ref="AA6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0">
        <f t="array" ref="AF6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0">
        <f t="array" ref="AK6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0">
        <f t="array" ref="AP60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0">
        <f t="array" ref="AU6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1" spans="12:47">
      <c r="L61">
        <f t="array" ref="L6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1">
        <f t="array" ref="Q6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1">
        <f t="array" ref="V61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1">
        <f t="array" ref="AA6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1">
        <f t="array" ref="AF6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1">
        <f t="array" ref="AK6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1">
        <f t="array" ref="AP61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1">
        <f t="array" ref="AU6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2" spans="12:47">
      <c r="L62">
        <f t="array" ref="L6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2">
        <f t="array" ref="Q6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2">
        <f t="array" ref="V62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2">
        <f t="array" ref="AA6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2">
        <f t="array" ref="AF6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2">
        <f t="array" ref="AK6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2">
        <f t="array" ref="AP62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2">
        <f t="array" ref="AU6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3" spans="12:47">
      <c r="L63">
        <f t="array" ref="L6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3">
        <f t="array" ref="Q6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3">
        <f t="array" ref="V63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3">
        <f t="array" ref="AA6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3">
        <f t="array" ref="AF6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3">
        <f t="array" ref="AK6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3">
        <f t="array" ref="AP63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3">
        <f t="array" ref="AU6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4" spans="12:47">
      <c r="L64">
        <f t="array" ref="L6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4">
        <f t="array" ref="Q6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4">
        <f t="array" ref="V64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4">
        <f t="array" ref="AA6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4">
        <f t="array" ref="AF6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4">
        <f t="array" ref="AK6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4">
        <f t="array" ref="AP64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4">
        <f t="array" ref="AU6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5" spans="12:47">
      <c r="L65">
        <f t="array" ref="L6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5">
        <f t="array" ref="Q6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5">
        <f t="array" ref="V65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5">
        <f t="array" ref="AA6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5">
        <f t="array" ref="AF6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5">
        <f t="array" ref="AK6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5">
        <f t="array" ref="AP65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5">
        <f t="array" ref="AU6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6" spans="12:47">
      <c r="L66">
        <f t="array" ref="L6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6">
        <f t="array" ref="Q6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6">
        <f t="array" ref="V66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6">
        <f t="array" ref="AA6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6">
        <f t="array" ref="AF6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6">
        <f t="array" ref="AK6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6">
        <f t="array" ref="AP66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6">
        <f t="array" ref="AU6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7" spans="12:47">
      <c r="L67">
        <f t="array" ref="L6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7">
        <f t="array" ref="Q6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7">
        <f t="array" ref="V67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7">
        <f t="array" ref="AA6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7">
        <f t="array" ref="AF6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7">
        <f t="array" ref="AK6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7">
        <f t="array" ref="AP67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7">
        <f t="array" ref="AU6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8" spans="12:47">
      <c r="L68">
        <f t="array" ref="L6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8">
        <f t="array" ref="Q6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8">
        <f t="array" ref="V68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8">
        <f t="array" ref="AA6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8">
        <f t="array" ref="AF6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8">
        <f t="array" ref="AK6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8">
        <f t="array" ref="AP68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8">
        <f t="array" ref="AU6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9" spans="12:47">
      <c r="L69">
        <f t="array" ref="L6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9">
        <f t="array" ref="Q6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9">
        <f t="array" ref="V69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69">
        <f t="array" ref="AA6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9">
        <f t="array" ref="AF6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9">
        <f t="array" ref="AK6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69">
        <f t="array" ref="AP69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69">
        <f t="array" ref="AU6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0" spans="12:47">
      <c r="L70">
        <f t="array" ref="L7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0">
        <f t="array" ref="Q7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0">
        <f t="array" ref="V70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70">
        <f t="array" ref="AA7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0">
        <f t="array" ref="AF7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0">
        <f t="array" ref="AK7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70">
        <f t="array" ref="AP70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70">
        <f t="array" ref="AU7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1" spans="12:47">
      <c r="L71">
        <f t="array" ref="L7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1">
        <f t="array" ref="Q7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1">
        <f t="array" ref="V71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71">
        <f t="array" ref="AA7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1">
        <f t="array" ref="AF7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1">
        <f t="array" ref="AK7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71">
        <f t="array" ref="AP71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71">
        <f t="array" ref="AU7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2" spans="12:47">
      <c r="L72">
        <f t="array" ref="L7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2">
        <f t="array" ref="Q7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2">
        <f t="array" ref="V72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72">
        <f t="array" ref="AA7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2">
        <f t="array" ref="AF7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2">
        <f t="array" ref="AK7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72">
        <f t="array" ref="AP72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72">
        <f t="array" ref="AU7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3" spans="12:47">
      <c r="L73">
        <f t="array" ref="L7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3">
        <f t="array" ref="Q7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3">
        <f t="array" ref="V73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73">
        <f t="array" ref="AA7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3">
        <f t="array" ref="AF7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3">
        <f t="array" ref="AK7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73">
        <f t="array" ref="AP73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73">
        <f t="array" ref="AU7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4" spans="12:47">
      <c r="L74">
        <f t="array" ref="L7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4">
        <f t="array" ref="Q7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4">
        <f t="array" ref="V74">IFERROR(CONCATENATE(INDEX(Y7:Y39,SMALL(IF(ISNUMBER(V7:V39),IF(V7:V39&gt;0,IF(Y7:Y39&lt;&gt;"",ROW(V7:V39)-MIN(ROW(V7:V39))+1))),ROW()-ROW(A$42)+1)),",",TEXT(INDEX(V7:V39,SMALL(IF(ISNUMBER(V7:V39),IF(V7:V39&gt;0,IF(Y7:Y39&lt;&gt;"",ROW(V7:V39)-MIN(ROW(V7:V39))+1))),ROW()-ROW(A$42)+1)),"##0"),",",SUBSTITUTE(SUBSTITUTE(INDEX(IF(PURCHASE_DESCRIPTION&lt;&gt;"",PURCHASE_DESCRIPTION&amp;":","")&amp;A7:A39,SMALL(IF(ISNUMBER(V7:V39),IF(V7:V39&gt;0,IF(Y7:Y39&lt;&gt;"",ROW(V7:V39)-MIN(ROW(V7:V39))+1))),ROW()-ROW(A$42)+1)),",",";"),"
",";"),",",SUBSTITUTE(SUBSTITUTE(INDEX(IF(PURCHASE_DESCRIPTION&lt;&gt;"",PURCHASE_DESCRIPTION&amp;":","")&amp;C7:C39,SMALL(IF(ISNUMBER(V7:V39),IF(V7:V39&gt;0,IF(Y7:Y39&lt;&gt;"",ROW(V7:V39)-MIN(ROW(V7:V39))+1))),ROW()-ROW(A$42)+1)),",",";"),"
",";"),",",SUBSTITUTE(SUBSTITUTE(INDEX(IF(PURCHASE_DESCRIPTION&lt;&gt;"",PURCHASE_DESCRIPTION&amp;":","")&amp;F7:F39,SMALL(IF(ISNUMBER(V7:V39),IF(V7:V39&gt;0,IF(Y7:Y39&lt;&gt;"",ROW(V7:V39)-MIN(ROW(V7:V39))+1))),ROW()-ROW(A$42)+1)),",",";"),"
",";"),",",SUBSTITUTE(SUBSTITUTE(INDEX(IF(PURCHASE_DESCRIPTION&lt;&gt;"",PURCHASE_DESCRIPTION&amp;":","")&amp;D7:D39,SMALL(IF(ISNUMBER(V7:V39),IF(V7:V39&gt;0,IF(Y7:Y39&lt;&gt;"",ROW(V7:V39)-MIN(ROW(V7:V39))+1))),ROW()-ROW(A$42)+1)),",",";"),"
",";")),"")</f>
        <v>0</v>
      </c>
      <c r="AA74">
        <f t="array" ref="AA7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4">
        <f t="array" ref="AF7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4">
        <f t="array" ref="AK7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SUBSTITUTE(INDEX(IF(PURCHASE_DESCRIPTION&lt;&gt;"",PURCHASE_DESCRIPTION&amp;":","")&amp;A7:A39,SMALL(IF(ISNUMBER(AK7:AK39),IF(AK7:AK39&gt;0,IF(AN7:AN39&lt;&gt;"",ROW(AK7:AK39)-MIN(ROW(AK7:AK39))+1))),ROW()-ROW(A$42)+1)),",",";"),"
",";"),",",SUBSTITUTE(SUBSTITUTE(INDEX(IF(PURCHASE_DESCRIPTION&lt;&gt;"",PURCHASE_DESCRIPTION&amp;":","")&amp;C7:C39,SMALL(IF(ISNUMBER(AK7:AK39),IF(AK7:AK39&gt;0,IF(AN7:AN39&lt;&gt;"",ROW(AK7:AK39)-MIN(ROW(AK7:AK39))+1))),ROW()-ROW(A$42)+1)),",",";"),"
",";"),",",SUBSTITUTE(SUBSTITUTE(INDEX(IF(PURCHASE_DESCRIPTION&lt;&gt;"",PURCHASE_DESCRIPTION&amp;":","")&amp;F7:F39,SMALL(IF(ISNUMBER(AK7:AK39),IF(AK7:AK39&gt;0,IF(AN7:AN39&lt;&gt;"",ROW(AK7:AK39)-MIN(ROW(AK7:AK39))+1))),ROW()-ROW(A$42)+1)),",",";"),"
",";"),",",SUBSTITUTE(SUBSTITUTE(INDEX(IF(PURCHASE_DESCRIPTION&lt;&gt;"",PURCHASE_DESCRIPTION&amp;":","")&amp;D7:D39,SMALL(IF(ISNUMBER(AK7:AK39),IF(AK7:AK39&gt;0,IF(AN7:AN39&lt;&gt;"",ROW(AK7:AK39)-MIN(ROW(AK7:AK39))+1))),ROW()-ROW(A$42)+1)),",",";"),"
",";")),"")</f>
        <v>0</v>
      </c>
      <c r="AP74">
        <f t="array" ref="AP74">IFERROR(CONCATENATE(INDEX(AS7:AS39,SMALL(IF(ISNUMBER(AP7:AP39),IF(AP7:AP39&gt;0,IF(AS7:AS39&lt;&gt;"",ROW(AP7:AP39)-MIN(ROW(AP7:AP39))+1))),ROW()-ROW(A$42)+1)),",",TEXT(INDEX(AP7:AP39,SMALL(IF(ISNUMBER(AP7:AP39),IF(AP7:AP39&gt;0,IF(AS7:AS39&lt;&gt;"",ROW(AP7:AP39)-MIN(ROW(AP7:AP39))+1))),ROW()-ROW(A$42)+1)),"##0"),",",,",",,",",,",",INDEX(G7:G39,SMALL(IF(ISNUMBER(AP7:AP39),IF(AP7:AP39&gt;0,IF(AS7:AS39&lt;&gt;"",ROW(AP7:AP39)-MIN(ROW(AP7:AP39))+1))),ROW()-ROW(A$42)+1)),",",SUBSTITUTE(INDEX(IF(PURCHASE_DESCRIPTION&lt;&gt;"",PURCHASE_DESCRIPTION&amp;":","")&amp;A7:A39,SMALL(IF(ISNUMBER(AP7:AP39),IF(AP7:AP39&gt;0,IF(AS7:AS39&lt;&gt;"",ROW(AP7:AP39)-MIN(ROW(AP7:AP39))+1))),ROW()-ROW(A$42)+1)),",",";")),"")</f>
        <v>0</v>
      </c>
      <c r="AU74">
        <f t="array" ref="AU7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5" spans="12:47">
      <c r="AA75">
        <f t="array" ref="AA7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443">
      <formula>AND(AA11&gt;0,AA11&lt;5)</formula>
    </cfRule>
    <cfRule type="cellIs" dxfId="1" priority="444" operator="greaterThan">
      <formula>Z11</formula>
    </cfRule>
  </conditionalFormatting>
  <conditionalFormatting sqref="AA12">
    <cfRule type="expression" dxfId="3" priority="449">
      <formula>AND(AA12&gt;0,AA12&lt;100)</formula>
    </cfRule>
    <cfRule type="cellIs" dxfId="1" priority="450" operator="greaterThan">
      <formula>Z12</formula>
    </cfRule>
  </conditionalFormatting>
  <conditionalFormatting sqref="AA20">
    <cfRule type="cellIs" dxfId="1" priority="455" operator="greaterThan">
      <formula>Z20</formula>
    </cfRule>
  </conditionalFormatting>
  <conditionalFormatting sqref="AA24">
    <cfRule type="expression" dxfId="3" priority="460">
      <formula>AND(AA24&gt;0,AA24&lt;50)</formula>
    </cfRule>
    <cfRule type="cellIs" dxfId="1" priority="461" operator="greaterThan">
      <formula>Z24</formula>
    </cfRule>
  </conditionalFormatting>
  <conditionalFormatting sqref="AA27">
    <cfRule type="expression" dxfId="3" priority="466">
      <formula>AND(AA27&gt;0,AA27&lt;50)</formula>
    </cfRule>
    <cfRule type="cellIs" dxfId="1" priority="467" operator="greaterThan">
      <formula>Z27</formula>
    </cfRule>
  </conditionalFormatting>
  <conditionalFormatting sqref="AA28">
    <cfRule type="expression" dxfId="3" priority="472">
      <formula>AND(AA28&gt;0,AA28&lt;50)</formula>
    </cfRule>
    <cfRule type="cellIs" dxfId="1" priority="473" operator="greaterThan">
      <formula>Z28</formula>
    </cfRule>
  </conditionalFormatting>
  <conditionalFormatting sqref="AA29">
    <cfRule type="cellIs" dxfId="1" priority="478" operator="greaterThan">
      <formula>Z29</formula>
    </cfRule>
  </conditionalFormatting>
  <conditionalFormatting sqref="AA33">
    <cfRule type="cellIs" dxfId="1" priority="483" operator="greaterThan">
      <formula>Z33</formula>
    </cfRule>
  </conditionalFormatting>
  <conditionalFormatting sqref="AA8">
    <cfRule type="expression" dxfId="3" priority="437">
      <formula>AND(AA8&gt;0,AA8&lt;5)</formula>
    </cfRule>
    <cfRule type="cellIs" dxfId="1" priority="438" operator="greaterThan">
      <formula>Z8</formula>
    </cfRule>
  </conditionalFormatting>
  <conditionalFormatting sqref="AB11">
    <cfRule type="cellIs" dxfId="4" priority="446" operator="lessThanOrEqual">
      <formula>I11</formula>
    </cfRule>
  </conditionalFormatting>
  <conditionalFormatting sqref="AB12">
    <cfRule type="cellIs" dxfId="4" priority="452" operator="lessThanOrEqual">
      <formula>I12</formula>
    </cfRule>
  </conditionalFormatting>
  <conditionalFormatting sqref="AB20">
    <cfRule type="cellIs" dxfId="4" priority="457" operator="lessThanOrEqual">
      <formula>I20</formula>
    </cfRule>
  </conditionalFormatting>
  <conditionalFormatting sqref="AB24">
    <cfRule type="cellIs" dxfId="4" priority="463" operator="lessThanOrEqual">
      <formula>I24</formula>
    </cfRule>
  </conditionalFormatting>
  <conditionalFormatting sqref="AB27">
    <cfRule type="cellIs" dxfId="4" priority="469" operator="lessThanOrEqual">
      <formula>I27</formula>
    </cfRule>
  </conditionalFormatting>
  <conditionalFormatting sqref="AB28">
    <cfRule type="cellIs" dxfId="4" priority="475" operator="lessThanOrEqual">
      <formula>I28</formula>
    </cfRule>
  </conditionalFormatting>
  <conditionalFormatting sqref="AB29">
    <cfRule type="cellIs" dxfId="4" priority="480" operator="lessThanOrEqual">
      <formula>I29</formula>
    </cfRule>
  </conditionalFormatting>
  <conditionalFormatting sqref="AB33">
    <cfRule type="cellIs" dxfId="4" priority="485" operator="lessThanOrEqual">
      <formula>I33</formula>
    </cfRule>
  </conditionalFormatting>
  <conditionalFormatting sqref="AB8">
    <cfRule type="cellIs" dxfId="4" priority="440" operator="lessThanOrEqual">
      <formula>I8</formula>
    </cfRule>
  </conditionalFormatting>
  <conditionalFormatting sqref="AC11">
    <cfRule type="cellIs" dxfId="4" priority="445" operator="lessThanOrEqual">
      <formula>J11</formula>
    </cfRule>
  </conditionalFormatting>
  <conditionalFormatting sqref="AC12">
    <cfRule type="cellIs" dxfId="4" priority="451" operator="lessThanOrEqual">
      <formula>J12</formula>
    </cfRule>
  </conditionalFormatting>
  <conditionalFormatting sqref="AC20">
    <cfRule type="cellIs" dxfId="4" priority="456" operator="lessThanOrEqual">
      <formula>J20</formula>
    </cfRule>
  </conditionalFormatting>
  <conditionalFormatting sqref="AC24">
    <cfRule type="cellIs" dxfId="4" priority="462" operator="lessThanOrEqual">
      <formula>J24</formula>
    </cfRule>
  </conditionalFormatting>
  <conditionalFormatting sqref="AC27">
    <cfRule type="cellIs" dxfId="4" priority="468" operator="lessThanOrEqual">
      <formula>J27</formula>
    </cfRule>
  </conditionalFormatting>
  <conditionalFormatting sqref="AC28">
    <cfRule type="cellIs" dxfId="4" priority="474" operator="lessThanOrEqual">
      <formula>J28</formula>
    </cfRule>
  </conditionalFormatting>
  <conditionalFormatting sqref="AC29">
    <cfRule type="cellIs" dxfId="4" priority="479" operator="lessThanOrEqual">
      <formula>J29</formula>
    </cfRule>
  </conditionalFormatting>
  <conditionalFormatting sqref="AC33">
    <cfRule type="cellIs" dxfId="4" priority="484" operator="lessThanOrEqual">
      <formula>J33</formula>
    </cfRule>
  </conditionalFormatting>
  <conditionalFormatting sqref="AC8">
    <cfRule type="cellIs" dxfId="4" priority="439" operator="lessThanOrEqual">
      <formula>J8</formula>
    </cfRule>
  </conditionalFormatting>
  <conditionalFormatting sqref="AE10">
    <cfRule type="cellIs" dxfId="1" priority="501" operator="equal">
      <formula>0</formula>
    </cfRule>
    <cfRule type="cellIs" dxfId="2" priority="502" operator="lessThan">
      <formula>H10</formula>
    </cfRule>
  </conditionalFormatting>
  <conditionalFormatting sqref="AE11">
    <cfRule type="cellIs" dxfId="1" priority="506" operator="equal">
      <formula>0</formula>
    </cfRule>
    <cfRule type="cellIs" dxfId="2" priority="507" operator="lessThan">
      <formula>H11</formula>
    </cfRule>
  </conditionalFormatting>
  <conditionalFormatting sqref="AE12">
    <cfRule type="cellIs" dxfId="1" priority="511" operator="equal">
      <formula>0</formula>
    </cfRule>
    <cfRule type="cellIs" dxfId="2" priority="512" operator="lessThan">
      <formula>H12</formula>
    </cfRule>
  </conditionalFormatting>
  <conditionalFormatting sqref="AE13">
    <cfRule type="cellIs" dxfId="1" priority="516" operator="equal">
      <formula>0</formula>
    </cfRule>
    <cfRule type="cellIs" dxfId="2" priority="517" operator="lessThan">
      <formula>H13</formula>
    </cfRule>
  </conditionalFormatting>
  <conditionalFormatting sqref="AE14">
    <cfRule type="cellIs" dxfId="1" priority="521" operator="equal">
      <formula>0</formula>
    </cfRule>
    <cfRule type="cellIs" dxfId="2" priority="522" operator="lessThan">
      <formula>H14</formula>
    </cfRule>
  </conditionalFormatting>
  <conditionalFormatting sqref="AE15">
    <cfRule type="cellIs" dxfId="1" priority="526" operator="equal">
      <formula>0</formula>
    </cfRule>
    <cfRule type="cellIs" dxfId="2" priority="527" operator="lessThan">
      <formula>H15</formula>
    </cfRule>
  </conditionalFormatting>
  <conditionalFormatting sqref="AE21">
    <cfRule type="cellIs" dxfId="1" priority="531" operator="equal">
      <formula>0</formula>
    </cfRule>
    <cfRule type="cellIs" dxfId="2" priority="532" operator="lessThan">
      <formula>H21</formula>
    </cfRule>
  </conditionalFormatting>
  <conditionalFormatting sqref="AE22">
    <cfRule type="cellIs" dxfId="1" priority="536" operator="equal">
      <formula>0</formula>
    </cfRule>
    <cfRule type="cellIs" dxfId="2" priority="537" operator="lessThan">
      <formula>H22</formula>
    </cfRule>
  </conditionalFormatting>
  <conditionalFormatting sqref="AE23">
    <cfRule type="cellIs" dxfId="1" priority="541" operator="equal">
      <formula>0</formula>
    </cfRule>
    <cfRule type="cellIs" dxfId="2" priority="542" operator="lessThan">
      <formula>H23</formula>
    </cfRule>
  </conditionalFormatting>
  <conditionalFormatting sqref="AE24">
    <cfRule type="cellIs" dxfId="1" priority="546" operator="equal">
      <formula>0</formula>
    </cfRule>
    <cfRule type="cellIs" dxfId="2" priority="547" operator="lessThan">
      <formula>H24</formula>
    </cfRule>
  </conditionalFormatting>
  <conditionalFormatting sqref="AE25">
    <cfRule type="cellIs" dxfId="1" priority="551" operator="equal">
      <formula>0</formula>
    </cfRule>
    <cfRule type="cellIs" dxfId="2" priority="552" operator="lessThan">
      <formula>H25</formula>
    </cfRule>
  </conditionalFormatting>
  <conditionalFormatting sqref="AE26">
    <cfRule type="cellIs" dxfId="1" priority="556" operator="equal">
      <formula>0</formula>
    </cfRule>
    <cfRule type="cellIs" dxfId="2" priority="557" operator="lessThan">
      <formula>H26</formula>
    </cfRule>
  </conditionalFormatting>
  <conditionalFormatting sqref="AE27">
    <cfRule type="cellIs" dxfId="1" priority="561" operator="equal">
      <formula>0</formula>
    </cfRule>
    <cfRule type="cellIs" dxfId="2" priority="562" operator="lessThan">
      <formula>H27</formula>
    </cfRule>
  </conditionalFormatting>
  <conditionalFormatting sqref="AE28">
    <cfRule type="cellIs" dxfId="1" priority="566" operator="equal">
      <formula>0</formula>
    </cfRule>
    <cfRule type="cellIs" dxfId="2" priority="567" operator="lessThan">
      <formula>H28</formula>
    </cfRule>
  </conditionalFormatting>
  <conditionalFormatting sqref="AE29">
    <cfRule type="cellIs" dxfId="1" priority="571" operator="equal">
      <formula>0</formula>
    </cfRule>
    <cfRule type="cellIs" dxfId="2" priority="572" operator="lessThan">
      <formula>H29</formula>
    </cfRule>
  </conditionalFormatting>
  <conditionalFormatting sqref="AE30">
    <cfRule type="cellIs" dxfId="1" priority="576" operator="equal">
      <formula>0</formula>
    </cfRule>
    <cfRule type="cellIs" dxfId="2" priority="577" operator="lessThan">
      <formula>H30</formula>
    </cfRule>
  </conditionalFormatting>
  <conditionalFormatting sqref="AE31">
    <cfRule type="cellIs" dxfId="1" priority="581" operator="equal">
      <formula>0</formula>
    </cfRule>
    <cfRule type="cellIs" dxfId="2" priority="582" operator="lessThan">
      <formula>H31</formula>
    </cfRule>
  </conditionalFormatting>
  <conditionalFormatting sqref="AE32">
    <cfRule type="cellIs" dxfId="1" priority="586" operator="equal">
      <formula>0</formula>
    </cfRule>
    <cfRule type="cellIs" dxfId="2" priority="587" operator="lessThan">
      <formula>H32</formula>
    </cfRule>
  </conditionalFormatting>
  <conditionalFormatting sqref="AE33">
    <cfRule type="cellIs" dxfId="1" priority="591" operator="equal">
      <formula>0</formula>
    </cfRule>
    <cfRule type="cellIs" dxfId="2" priority="592" operator="lessThan">
      <formula>H33</formula>
    </cfRule>
  </conditionalFormatting>
  <conditionalFormatting sqref="AE34">
    <cfRule type="cellIs" dxfId="1" priority="596" operator="equal">
      <formula>0</formula>
    </cfRule>
    <cfRule type="cellIs" dxfId="2" priority="597" operator="lessThan">
      <formula>H34</formula>
    </cfRule>
  </conditionalFormatting>
  <conditionalFormatting sqref="AE35">
    <cfRule type="cellIs" dxfId="1" priority="601" operator="equal">
      <formula>0</formula>
    </cfRule>
    <cfRule type="cellIs" dxfId="2" priority="602" operator="lessThan">
      <formula>H35</formula>
    </cfRule>
  </conditionalFormatting>
  <conditionalFormatting sqref="AE36">
    <cfRule type="cellIs" dxfId="1" priority="606" operator="equal">
      <formula>0</formula>
    </cfRule>
    <cfRule type="cellIs" dxfId="2" priority="607" operator="lessThan">
      <formula>H36</formula>
    </cfRule>
  </conditionalFormatting>
  <conditionalFormatting sqref="AE39">
    <cfRule type="cellIs" dxfId="1" priority="611" operator="equal">
      <formula>0</formula>
    </cfRule>
    <cfRule type="cellIs" dxfId="2" priority="612" operator="lessThan">
      <formula>H39</formula>
    </cfRule>
  </conditionalFormatting>
  <conditionalFormatting sqref="AE7">
    <cfRule type="cellIs" dxfId="1" priority="486" operator="equal">
      <formula>0</formula>
    </cfRule>
    <cfRule type="cellIs" dxfId="2" priority="487" operator="lessThan">
      <formula>H7</formula>
    </cfRule>
  </conditionalFormatting>
  <conditionalFormatting sqref="AE8">
    <cfRule type="cellIs" dxfId="1" priority="491" operator="equal">
      <formula>0</formula>
    </cfRule>
    <cfRule type="cellIs" dxfId="2" priority="492" operator="lessThan">
      <formula>H8</formula>
    </cfRule>
  </conditionalFormatting>
  <conditionalFormatting sqref="AE9">
    <cfRule type="cellIs" dxfId="1" priority="496" operator="equal">
      <formula>0</formula>
    </cfRule>
    <cfRule type="cellIs" dxfId="2" priority="497" operator="lessThan">
      <formula>H9</formula>
    </cfRule>
  </conditionalFormatting>
  <conditionalFormatting sqref="AF10">
    <cfRule type="cellIs" dxfId="1" priority="503" operator="greaterThan">
      <formula>AE10</formula>
    </cfRule>
  </conditionalFormatting>
  <conditionalFormatting sqref="AF11">
    <cfRule type="cellIs" dxfId="1" priority="508" operator="greaterThan">
      <formula>AE11</formula>
    </cfRule>
  </conditionalFormatting>
  <conditionalFormatting sqref="AF12">
    <cfRule type="cellIs" dxfId="1" priority="513" operator="greaterThan">
      <formula>AE12</formula>
    </cfRule>
  </conditionalFormatting>
  <conditionalFormatting sqref="AF13">
    <cfRule type="cellIs" dxfId="1" priority="518" operator="greaterThan">
      <formula>AE13</formula>
    </cfRule>
  </conditionalFormatting>
  <conditionalFormatting sqref="AF14">
    <cfRule type="cellIs" dxfId="1" priority="523" operator="greaterThan">
      <formula>AE14</formula>
    </cfRule>
  </conditionalFormatting>
  <conditionalFormatting sqref="AF15">
    <cfRule type="cellIs" dxfId="1" priority="528" operator="greaterThan">
      <formula>AE15</formula>
    </cfRule>
  </conditionalFormatting>
  <conditionalFormatting sqref="AF21">
    <cfRule type="cellIs" dxfId="1" priority="533" operator="greaterThan">
      <formula>AE21</formula>
    </cfRule>
  </conditionalFormatting>
  <conditionalFormatting sqref="AF22">
    <cfRule type="cellIs" dxfId="1" priority="538" operator="greaterThan">
      <formula>AE22</formula>
    </cfRule>
  </conditionalFormatting>
  <conditionalFormatting sqref="AF23">
    <cfRule type="cellIs" dxfId="1" priority="543" operator="greaterThan">
      <formula>AE23</formula>
    </cfRule>
  </conditionalFormatting>
  <conditionalFormatting sqref="AF24">
    <cfRule type="cellIs" dxfId="1" priority="548" operator="greaterThan">
      <formula>AE24</formula>
    </cfRule>
  </conditionalFormatting>
  <conditionalFormatting sqref="AF25">
    <cfRule type="cellIs" dxfId="1" priority="553" operator="greaterThan">
      <formula>AE25</formula>
    </cfRule>
  </conditionalFormatting>
  <conditionalFormatting sqref="AF26">
    <cfRule type="cellIs" dxfId="1" priority="558" operator="greaterThan">
      <formula>AE26</formula>
    </cfRule>
  </conditionalFormatting>
  <conditionalFormatting sqref="AF27">
    <cfRule type="cellIs" dxfId="1" priority="563" operator="greaterThan">
      <formula>AE27</formula>
    </cfRule>
  </conditionalFormatting>
  <conditionalFormatting sqref="AF28">
    <cfRule type="cellIs" dxfId="1" priority="568" operator="greaterThan">
      <formula>AE28</formula>
    </cfRule>
  </conditionalFormatting>
  <conditionalFormatting sqref="AF29">
    <cfRule type="cellIs" dxfId="1" priority="573" operator="greaterThan">
      <formula>AE29</formula>
    </cfRule>
  </conditionalFormatting>
  <conditionalFormatting sqref="AF30">
    <cfRule type="cellIs" dxfId="1" priority="578" operator="greaterThan">
      <formula>AE30</formula>
    </cfRule>
  </conditionalFormatting>
  <conditionalFormatting sqref="AF31">
    <cfRule type="cellIs" dxfId="1" priority="583" operator="greaterThan">
      <formula>AE31</formula>
    </cfRule>
  </conditionalFormatting>
  <conditionalFormatting sqref="AF32">
    <cfRule type="cellIs" dxfId="1" priority="588" operator="greaterThan">
      <formula>AE32</formula>
    </cfRule>
  </conditionalFormatting>
  <conditionalFormatting sqref="AF33">
    <cfRule type="cellIs" dxfId="1" priority="593" operator="greaterThan">
      <formula>AE33</formula>
    </cfRule>
  </conditionalFormatting>
  <conditionalFormatting sqref="AF34">
    <cfRule type="cellIs" dxfId="1" priority="598" operator="greaterThan">
      <formula>AE34</formula>
    </cfRule>
  </conditionalFormatting>
  <conditionalFormatting sqref="AF35">
    <cfRule type="cellIs" dxfId="1" priority="603" operator="greaterThan">
      <formula>AE35</formula>
    </cfRule>
  </conditionalFormatting>
  <conditionalFormatting sqref="AF36">
    <cfRule type="cellIs" dxfId="1" priority="608" operator="greaterThan">
      <formula>AE36</formula>
    </cfRule>
  </conditionalFormatting>
  <conditionalFormatting sqref="AF39">
    <cfRule type="cellIs" dxfId="1" priority="613" operator="greaterThan">
      <formula>AE39</formula>
    </cfRule>
  </conditionalFormatting>
  <conditionalFormatting sqref="AF7">
    <cfRule type="cellIs" dxfId="1" priority="488" operator="greaterThan">
      <formula>AE7</formula>
    </cfRule>
  </conditionalFormatting>
  <conditionalFormatting sqref="AF8">
    <cfRule type="cellIs" dxfId="1" priority="493" operator="greaterThan">
      <formula>AE8</formula>
    </cfRule>
  </conditionalFormatting>
  <conditionalFormatting sqref="AF9">
    <cfRule type="cellIs" dxfId="1" priority="498" operator="greaterThan">
      <formula>AE9</formula>
    </cfRule>
  </conditionalFormatting>
  <conditionalFormatting sqref="AG10">
    <cfRule type="cellIs" dxfId="4" priority="505" operator="lessThanOrEqual">
      <formula>I10</formula>
    </cfRule>
  </conditionalFormatting>
  <conditionalFormatting sqref="AG11">
    <cfRule type="cellIs" dxfId="4" priority="510" operator="lessThanOrEqual">
      <formula>I11</formula>
    </cfRule>
  </conditionalFormatting>
  <conditionalFormatting sqref="AG12">
    <cfRule type="cellIs" dxfId="4" priority="515" operator="lessThanOrEqual">
      <formula>I12</formula>
    </cfRule>
  </conditionalFormatting>
  <conditionalFormatting sqref="AG13">
    <cfRule type="cellIs" dxfId="4" priority="520" operator="lessThanOrEqual">
      <formula>I13</formula>
    </cfRule>
  </conditionalFormatting>
  <conditionalFormatting sqref="AG14">
    <cfRule type="cellIs" dxfId="4" priority="525" operator="lessThanOrEqual">
      <formula>I14</formula>
    </cfRule>
  </conditionalFormatting>
  <conditionalFormatting sqref="AG15">
    <cfRule type="cellIs" dxfId="4" priority="530" operator="lessThanOrEqual">
      <formula>I15</formula>
    </cfRule>
  </conditionalFormatting>
  <conditionalFormatting sqref="AG21">
    <cfRule type="cellIs" dxfId="4" priority="535" operator="lessThanOrEqual">
      <formula>I21</formula>
    </cfRule>
  </conditionalFormatting>
  <conditionalFormatting sqref="AG22">
    <cfRule type="cellIs" dxfId="4" priority="540" operator="lessThanOrEqual">
      <formula>I22</formula>
    </cfRule>
  </conditionalFormatting>
  <conditionalFormatting sqref="AG23">
    <cfRule type="cellIs" dxfId="4" priority="545" operator="lessThanOrEqual">
      <formula>I23</formula>
    </cfRule>
  </conditionalFormatting>
  <conditionalFormatting sqref="AG24">
    <cfRule type="cellIs" dxfId="4" priority="550" operator="lessThanOrEqual">
      <formula>I24</formula>
    </cfRule>
  </conditionalFormatting>
  <conditionalFormatting sqref="AG25">
    <cfRule type="cellIs" dxfId="4" priority="555" operator="lessThanOrEqual">
      <formula>I25</formula>
    </cfRule>
  </conditionalFormatting>
  <conditionalFormatting sqref="AG26">
    <cfRule type="cellIs" dxfId="4" priority="560" operator="lessThanOrEqual">
      <formula>I26</formula>
    </cfRule>
  </conditionalFormatting>
  <conditionalFormatting sqref="AG27">
    <cfRule type="cellIs" dxfId="4" priority="565" operator="lessThanOrEqual">
      <formula>I27</formula>
    </cfRule>
  </conditionalFormatting>
  <conditionalFormatting sqref="AG28">
    <cfRule type="cellIs" dxfId="4" priority="570" operator="lessThanOrEqual">
      <formula>I28</formula>
    </cfRule>
  </conditionalFormatting>
  <conditionalFormatting sqref="AG29">
    <cfRule type="cellIs" dxfId="4" priority="575" operator="lessThanOrEqual">
      <formula>I29</formula>
    </cfRule>
  </conditionalFormatting>
  <conditionalFormatting sqref="AG30">
    <cfRule type="cellIs" dxfId="4" priority="580" operator="lessThanOrEqual">
      <formula>I30</formula>
    </cfRule>
  </conditionalFormatting>
  <conditionalFormatting sqref="AG31">
    <cfRule type="cellIs" dxfId="4" priority="585" operator="lessThanOrEqual">
      <formula>I31</formula>
    </cfRule>
  </conditionalFormatting>
  <conditionalFormatting sqref="AG32">
    <cfRule type="cellIs" dxfId="4" priority="590" operator="lessThanOrEqual">
      <formula>I32</formula>
    </cfRule>
  </conditionalFormatting>
  <conditionalFormatting sqref="AG33">
    <cfRule type="cellIs" dxfId="4" priority="595" operator="lessThanOrEqual">
      <formula>I33</formula>
    </cfRule>
  </conditionalFormatting>
  <conditionalFormatting sqref="AG34">
    <cfRule type="cellIs" dxfId="4" priority="600" operator="lessThanOrEqual">
      <formula>I34</formula>
    </cfRule>
  </conditionalFormatting>
  <conditionalFormatting sqref="AG35">
    <cfRule type="cellIs" dxfId="4" priority="605" operator="lessThanOrEqual">
      <formula>I35</formula>
    </cfRule>
  </conditionalFormatting>
  <conditionalFormatting sqref="AG36">
    <cfRule type="cellIs" dxfId="4" priority="610" operator="lessThanOrEqual">
      <formula>I36</formula>
    </cfRule>
  </conditionalFormatting>
  <conditionalFormatting sqref="AG39">
    <cfRule type="cellIs" dxfId="4" priority="615" operator="lessThanOrEqual">
      <formula>I39</formula>
    </cfRule>
  </conditionalFormatting>
  <conditionalFormatting sqref="AG7">
    <cfRule type="cellIs" dxfId="4" priority="490" operator="lessThanOrEqual">
      <formula>I7</formula>
    </cfRule>
  </conditionalFormatting>
  <conditionalFormatting sqref="AG8">
    <cfRule type="cellIs" dxfId="4" priority="495" operator="lessThanOrEqual">
      <formula>I8</formula>
    </cfRule>
  </conditionalFormatting>
  <conditionalFormatting sqref="AG9">
    <cfRule type="cellIs" dxfId="4" priority="500" operator="lessThanOrEqual">
      <formula>I9</formula>
    </cfRule>
  </conditionalFormatting>
  <conditionalFormatting sqref="AH10">
    <cfRule type="cellIs" dxfId="4" priority="504" operator="lessThanOrEqual">
      <formula>J10</formula>
    </cfRule>
  </conditionalFormatting>
  <conditionalFormatting sqref="AH11">
    <cfRule type="cellIs" dxfId="4" priority="509" operator="lessThanOrEqual">
      <formula>J11</formula>
    </cfRule>
  </conditionalFormatting>
  <conditionalFormatting sqref="AH12">
    <cfRule type="cellIs" dxfId="4" priority="514" operator="lessThanOrEqual">
      <formula>J12</formula>
    </cfRule>
  </conditionalFormatting>
  <conditionalFormatting sqref="AH13">
    <cfRule type="cellIs" dxfId="4" priority="519" operator="lessThanOrEqual">
      <formula>J13</formula>
    </cfRule>
  </conditionalFormatting>
  <conditionalFormatting sqref="AH14">
    <cfRule type="cellIs" dxfId="4" priority="524" operator="lessThanOrEqual">
      <formula>J14</formula>
    </cfRule>
  </conditionalFormatting>
  <conditionalFormatting sqref="AH15">
    <cfRule type="cellIs" dxfId="4" priority="529" operator="lessThanOrEqual">
      <formula>J15</formula>
    </cfRule>
  </conditionalFormatting>
  <conditionalFormatting sqref="AH21">
    <cfRule type="cellIs" dxfId="4" priority="534" operator="lessThanOrEqual">
      <formula>J21</formula>
    </cfRule>
  </conditionalFormatting>
  <conditionalFormatting sqref="AH22">
    <cfRule type="cellIs" dxfId="4" priority="539" operator="lessThanOrEqual">
      <formula>J22</formula>
    </cfRule>
  </conditionalFormatting>
  <conditionalFormatting sqref="AH23">
    <cfRule type="cellIs" dxfId="4" priority="544" operator="lessThanOrEqual">
      <formula>J23</formula>
    </cfRule>
  </conditionalFormatting>
  <conditionalFormatting sqref="AH24">
    <cfRule type="cellIs" dxfId="4" priority="549" operator="lessThanOrEqual">
      <formula>J24</formula>
    </cfRule>
  </conditionalFormatting>
  <conditionalFormatting sqref="AH25">
    <cfRule type="cellIs" dxfId="4" priority="554" operator="lessThanOrEqual">
      <formula>J25</formula>
    </cfRule>
  </conditionalFormatting>
  <conditionalFormatting sqref="AH26">
    <cfRule type="cellIs" dxfId="4" priority="559" operator="lessThanOrEqual">
      <formula>J26</formula>
    </cfRule>
  </conditionalFormatting>
  <conditionalFormatting sqref="AH27">
    <cfRule type="cellIs" dxfId="4" priority="564" operator="lessThanOrEqual">
      <formula>J27</formula>
    </cfRule>
  </conditionalFormatting>
  <conditionalFormatting sqref="AH28">
    <cfRule type="cellIs" dxfId="4" priority="569" operator="lessThanOrEqual">
      <formula>J28</formula>
    </cfRule>
  </conditionalFormatting>
  <conditionalFormatting sqref="AH29">
    <cfRule type="cellIs" dxfId="4" priority="574" operator="lessThanOrEqual">
      <formula>J29</formula>
    </cfRule>
  </conditionalFormatting>
  <conditionalFormatting sqref="AH30">
    <cfRule type="cellIs" dxfId="4" priority="579" operator="lessThanOrEqual">
      <formula>J30</formula>
    </cfRule>
  </conditionalFormatting>
  <conditionalFormatting sqref="AH31">
    <cfRule type="cellIs" dxfId="4" priority="584" operator="lessThanOrEqual">
      <formula>J31</formula>
    </cfRule>
  </conditionalFormatting>
  <conditionalFormatting sqref="AH32">
    <cfRule type="cellIs" dxfId="4" priority="589" operator="lessThanOrEqual">
      <formula>J32</formula>
    </cfRule>
  </conditionalFormatting>
  <conditionalFormatting sqref="AH33">
    <cfRule type="cellIs" dxfId="4" priority="594" operator="lessThanOrEqual">
      <formula>J33</formula>
    </cfRule>
  </conditionalFormatting>
  <conditionalFormatting sqref="AH34">
    <cfRule type="cellIs" dxfId="4" priority="599" operator="lessThanOrEqual">
      <formula>J34</formula>
    </cfRule>
  </conditionalFormatting>
  <conditionalFormatting sqref="AH35">
    <cfRule type="cellIs" dxfId="4" priority="604" operator="lessThanOrEqual">
      <formula>J35</formula>
    </cfRule>
  </conditionalFormatting>
  <conditionalFormatting sqref="AH36">
    <cfRule type="cellIs" dxfId="4" priority="609" operator="lessThanOrEqual">
      <formula>J36</formula>
    </cfRule>
  </conditionalFormatting>
  <conditionalFormatting sqref="AH39">
    <cfRule type="cellIs" dxfId="4" priority="614" operator="lessThanOrEqual">
      <formula>J39</formula>
    </cfRule>
  </conditionalFormatting>
  <conditionalFormatting sqref="AH7">
    <cfRule type="cellIs" dxfId="4" priority="489" operator="lessThanOrEqual">
      <formula>J7</formula>
    </cfRule>
  </conditionalFormatting>
  <conditionalFormatting sqref="AH8">
    <cfRule type="cellIs" dxfId="4" priority="494" operator="lessThanOrEqual">
      <formula>J8</formula>
    </cfRule>
  </conditionalFormatting>
  <conditionalFormatting sqref="AH9">
    <cfRule type="cellIs" dxfId="4" priority="499" operator="lessThanOrEqual">
      <formula>J9</formula>
    </cfRule>
  </conditionalFormatting>
  <conditionalFormatting sqref="AJ10">
    <cfRule type="cellIs" dxfId="1" priority="632" operator="equal">
      <formula>0</formula>
    </cfRule>
    <cfRule type="cellIs" dxfId="2" priority="633" operator="lessThan">
      <formula>H10</formula>
    </cfRule>
  </conditionalFormatting>
  <conditionalFormatting sqref="AJ11">
    <cfRule type="cellIs" dxfId="1" priority="638" operator="equal">
      <formula>0</formula>
    </cfRule>
    <cfRule type="cellIs" dxfId="2" priority="639" operator="lessThan">
      <formula>H11</formula>
    </cfRule>
  </conditionalFormatting>
  <conditionalFormatting sqref="AJ12">
    <cfRule type="cellIs" dxfId="1" priority="643" operator="equal">
      <formula>0</formula>
    </cfRule>
    <cfRule type="cellIs" dxfId="2" priority="644" operator="lessThan">
      <formula>H12</formula>
    </cfRule>
  </conditionalFormatting>
  <conditionalFormatting sqref="AJ13">
    <cfRule type="cellIs" dxfId="1" priority="648" operator="equal">
      <formula>0</formula>
    </cfRule>
    <cfRule type="cellIs" dxfId="2" priority="649" operator="lessThan">
      <formula>H13</formula>
    </cfRule>
  </conditionalFormatting>
  <conditionalFormatting sqref="AJ14">
    <cfRule type="cellIs" dxfId="1" priority="653" operator="equal">
      <formula>0</formula>
    </cfRule>
    <cfRule type="cellIs" dxfId="2" priority="654" operator="lessThan">
      <formula>H14</formula>
    </cfRule>
  </conditionalFormatting>
  <conditionalFormatting sqref="AJ15">
    <cfRule type="cellIs" dxfId="1" priority="658" operator="equal">
      <formula>0</formula>
    </cfRule>
    <cfRule type="cellIs" dxfId="2" priority="659" operator="lessThan">
      <formula>H15</formula>
    </cfRule>
  </conditionalFormatting>
  <conditionalFormatting sqref="AJ21">
    <cfRule type="cellIs" dxfId="1" priority="663" operator="equal">
      <formula>0</formula>
    </cfRule>
    <cfRule type="cellIs" dxfId="2" priority="664" operator="lessThan">
      <formula>H21</formula>
    </cfRule>
  </conditionalFormatting>
  <conditionalFormatting sqref="AJ22">
    <cfRule type="cellIs" dxfId="1" priority="669" operator="equal">
      <formula>0</formula>
    </cfRule>
    <cfRule type="cellIs" dxfId="2" priority="670" operator="lessThan">
      <formula>H22</formula>
    </cfRule>
  </conditionalFormatting>
  <conditionalFormatting sqref="AJ23">
    <cfRule type="cellIs" dxfId="1" priority="674" operator="equal">
      <formula>0</formula>
    </cfRule>
    <cfRule type="cellIs" dxfId="2" priority="675" operator="lessThan">
      <formula>H23</formula>
    </cfRule>
  </conditionalFormatting>
  <conditionalFormatting sqref="AJ24">
    <cfRule type="cellIs" dxfId="1" priority="680" operator="equal">
      <formula>0</formula>
    </cfRule>
    <cfRule type="cellIs" dxfId="2" priority="681" operator="lessThan">
      <formula>H24</formula>
    </cfRule>
  </conditionalFormatting>
  <conditionalFormatting sqref="AJ25">
    <cfRule type="cellIs" dxfId="1" priority="685" operator="equal">
      <formula>0</formula>
    </cfRule>
    <cfRule type="cellIs" dxfId="2" priority="686" operator="lessThan">
      <formula>H25</formula>
    </cfRule>
  </conditionalFormatting>
  <conditionalFormatting sqref="AJ26">
    <cfRule type="cellIs" dxfId="1" priority="690" operator="equal">
      <formula>0</formula>
    </cfRule>
    <cfRule type="cellIs" dxfId="2" priority="691" operator="lessThan">
      <formula>H26</formula>
    </cfRule>
  </conditionalFormatting>
  <conditionalFormatting sqref="AJ27">
    <cfRule type="cellIs" dxfId="1" priority="695" operator="equal">
      <formula>0</formula>
    </cfRule>
    <cfRule type="cellIs" dxfId="2" priority="696" operator="lessThan">
      <formula>H27</formula>
    </cfRule>
  </conditionalFormatting>
  <conditionalFormatting sqref="AJ28">
    <cfRule type="cellIs" dxfId="1" priority="700" operator="equal">
      <formula>0</formula>
    </cfRule>
    <cfRule type="cellIs" dxfId="2" priority="701" operator="lessThan">
      <formula>H28</formula>
    </cfRule>
  </conditionalFormatting>
  <conditionalFormatting sqref="AJ29">
    <cfRule type="cellIs" dxfId="1" priority="705" operator="equal">
      <formula>0</formula>
    </cfRule>
    <cfRule type="cellIs" dxfId="2" priority="706" operator="lessThan">
      <formula>H29</formula>
    </cfRule>
  </conditionalFormatting>
  <conditionalFormatting sqref="AJ30">
    <cfRule type="cellIs" dxfId="1" priority="710" operator="equal">
      <formula>0</formula>
    </cfRule>
    <cfRule type="cellIs" dxfId="2" priority="711" operator="lessThan">
      <formula>H30</formula>
    </cfRule>
  </conditionalFormatting>
  <conditionalFormatting sqref="AJ31">
    <cfRule type="cellIs" dxfId="1" priority="716" operator="equal">
      <formula>0</formula>
    </cfRule>
    <cfRule type="cellIs" dxfId="2" priority="717" operator="lessThan">
      <formula>H31</formula>
    </cfRule>
  </conditionalFormatting>
  <conditionalFormatting sqref="AJ32">
    <cfRule type="cellIs" dxfId="1" priority="721" operator="equal">
      <formula>0</formula>
    </cfRule>
    <cfRule type="cellIs" dxfId="2" priority="722" operator="lessThan">
      <formula>H32</formula>
    </cfRule>
  </conditionalFormatting>
  <conditionalFormatting sqref="AJ34">
    <cfRule type="cellIs" dxfId="1" priority="726" operator="equal">
      <formula>0</formula>
    </cfRule>
    <cfRule type="cellIs" dxfId="2" priority="727" operator="lessThan">
      <formula>H34</formula>
    </cfRule>
  </conditionalFormatting>
  <conditionalFormatting sqref="AJ35">
    <cfRule type="cellIs" dxfId="1" priority="731" operator="equal">
      <formula>0</formula>
    </cfRule>
    <cfRule type="cellIs" dxfId="2" priority="732" operator="lessThan">
      <formula>H35</formula>
    </cfRule>
  </conditionalFormatting>
  <conditionalFormatting sqref="AJ36">
    <cfRule type="cellIs" dxfId="1" priority="736" operator="equal">
      <formula>0</formula>
    </cfRule>
    <cfRule type="cellIs" dxfId="2" priority="737" operator="lessThan">
      <formula>H36</formula>
    </cfRule>
  </conditionalFormatting>
  <conditionalFormatting sqref="AJ39">
    <cfRule type="cellIs" dxfId="1" priority="741" operator="equal">
      <formula>0</formula>
    </cfRule>
    <cfRule type="cellIs" dxfId="2" priority="742" operator="lessThan">
      <formula>H39</formula>
    </cfRule>
  </conditionalFormatting>
  <conditionalFormatting sqref="AJ7">
    <cfRule type="cellIs" dxfId="1" priority="616" operator="equal">
      <formula>0</formula>
    </cfRule>
    <cfRule type="cellIs" dxfId="2" priority="617" operator="lessThan">
      <formula>H7</formula>
    </cfRule>
  </conditionalFormatting>
  <conditionalFormatting sqref="AJ8">
    <cfRule type="cellIs" dxfId="1" priority="621" operator="equal">
      <formula>0</formula>
    </cfRule>
    <cfRule type="cellIs" dxfId="2" priority="622" operator="lessThan">
      <formula>H8</formula>
    </cfRule>
  </conditionalFormatting>
  <conditionalFormatting sqref="AJ9">
    <cfRule type="cellIs" dxfId="1" priority="626" operator="equal">
      <formula>0</formula>
    </cfRule>
    <cfRule type="cellIs" dxfId="2" priority="627" operator="lessThan">
      <formula>H9</formula>
    </cfRule>
  </conditionalFormatting>
  <conditionalFormatting sqref="AK10">
    <cfRule type="expression" dxfId="3" priority="634">
      <formula>AND(AK10&gt;0,AK10&lt;10)</formula>
    </cfRule>
    <cfRule type="cellIs" dxfId="1" priority="635" operator="greaterThan">
      <formula>AJ10</formula>
    </cfRule>
  </conditionalFormatting>
  <conditionalFormatting sqref="AK11">
    <cfRule type="cellIs" dxfId="1" priority="640" operator="greaterThan">
      <formula>AJ11</formula>
    </cfRule>
  </conditionalFormatting>
  <conditionalFormatting sqref="AK12">
    <cfRule type="cellIs" dxfId="1" priority="645" operator="greaterThan">
      <formula>AJ12</formula>
    </cfRule>
  </conditionalFormatting>
  <conditionalFormatting sqref="AK13">
    <cfRule type="cellIs" dxfId="1" priority="650" operator="greaterThan">
      <formula>AJ13</formula>
    </cfRule>
  </conditionalFormatting>
  <conditionalFormatting sqref="AK14">
    <cfRule type="cellIs" dxfId="1" priority="655" operator="greaterThan">
      <formula>AJ14</formula>
    </cfRule>
  </conditionalFormatting>
  <conditionalFormatting sqref="AK15">
    <cfRule type="cellIs" dxfId="1" priority="660" operator="greaterThan">
      <formula>AJ15</formula>
    </cfRule>
  </conditionalFormatting>
  <conditionalFormatting sqref="AK21">
    <cfRule type="expression" dxfId="3" priority="665">
      <formula>AND(AK21&gt;0,AK21&lt;15000)</formula>
    </cfRule>
    <cfRule type="cellIs" dxfId="1" priority="666" operator="greaterThan">
      <formula>AJ21</formula>
    </cfRule>
  </conditionalFormatting>
  <conditionalFormatting sqref="AK22">
    <cfRule type="cellIs" dxfId="1" priority="671" operator="greaterThan">
      <formula>AJ22</formula>
    </cfRule>
  </conditionalFormatting>
  <conditionalFormatting sqref="AK23">
    <cfRule type="expression" dxfId="3" priority="676">
      <formula>AND(AK23&gt;0,AK23&lt;15000)</formula>
    </cfRule>
    <cfRule type="cellIs" dxfId="1" priority="677" operator="greaterThan">
      <formula>AJ23</formula>
    </cfRule>
  </conditionalFormatting>
  <conditionalFormatting sqref="AK24">
    <cfRule type="cellIs" dxfId="1" priority="682" operator="greaterThan">
      <formula>AJ24</formula>
    </cfRule>
  </conditionalFormatting>
  <conditionalFormatting sqref="AK25">
    <cfRule type="cellIs" dxfId="1" priority="687" operator="greaterThan">
      <formula>AJ25</formula>
    </cfRule>
  </conditionalFormatting>
  <conditionalFormatting sqref="AK26">
    <cfRule type="cellIs" dxfId="1" priority="692" operator="greaterThan">
      <formula>AJ26</formula>
    </cfRule>
  </conditionalFormatting>
  <conditionalFormatting sqref="AK27">
    <cfRule type="cellIs" dxfId="1" priority="697" operator="greaterThan">
      <formula>AJ27</formula>
    </cfRule>
  </conditionalFormatting>
  <conditionalFormatting sqref="AK28">
    <cfRule type="cellIs" dxfId="1" priority="702" operator="greaterThan">
      <formula>AJ28</formula>
    </cfRule>
  </conditionalFormatting>
  <conditionalFormatting sqref="AK29">
    <cfRule type="cellIs" dxfId="1" priority="707" operator="greaterThan">
      <formula>AJ29</formula>
    </cfRule>
  </conditionalFormatting>
  <conditionalFormatting sqref="AK30">
    <cfRule type="expression" dxfId="3" priority="712">
      <formula>AND(AK30&gt;0,AK30&lt;5)</formula>
    </cfRule>
    <cfRule type="cellIs" dxfId="1" priority="713" operator="greaterThan">
      <formula>AJ30</formula>
    </cfRule>
  </conditionalFormatting>
  <conditionalFormatting sqref="AK31">
    <cfRule type="cellIs" dxfId="1" priority="718" operator="greaterThan">
      <formula>AJ31</formula>
    </cfRule>
  </conditionalFormatting>
  <conditionalFormatting sqref="AK32">
    <cfRule type="cellIs" dxfId="1" priority="723" operator="greaterThan">
      <formula>AJ32</formula>
    </cfRule>
  </conditionalFormatting>
  <conditionalFormatting sqref="AK34">
    <cfRule type="cellIs" dxfId="1" priority="728" operator="greaterThan">
      <formula>AJ34</formula>
    </cfRule>
  </conditionalFormatting>
  <conditionalFormatting sqref="AK35">
    <cfRule type="cellIs" dxfId="1" priority="733" operator="greaterThan">
      <formula>AJ35</formula>
    </cfRule>
  </conditionalFormatting>
  <conditionalFormatting sqref="AK36">
    <cfRule type="cellIs" dxfId="1" priority="738" operator="greaterThan">
      <formula>AJ36</formula>
    </cfRule>
  </conditionalFormatting>
  <conditionalFormatting sqref="AK39">
    <cfRule type="cellIs" dxfId="1" priority="743" operator="greaterThan">
      <formula>AJ39</formula>
    </cfRule>
  </conditionalFormatting>
  <conditionalFormatting sqref="AK7">
    <cfRule type="cellIs" dxfId="1" priority="618" operator="greaterThan">
      <formula>AJ7</formula>
    </cfRule>
  </conditionalFormatting>
  <conditionalFormatting sqref="AK8">
    <cfRule type="cellIs" dxfId="1" priority="623" operator="greaterThan">
      <formula>AJ8</formula>
    </cfRule>
  </conditionalFormatting>
  <conditionalFormatting sqref="AK9">
    <cfRule type="expression" dxfId="3" priority="628">
      <formula>AND(AK9&gt;0,AK9&lt;10)</formula>
    </cfRule>
    <cfRule type="cellIs" dxfId="1" priority="629" operator="greaterThan">
      <formula>AJ9</formula>
    </cfRule>
  </conditionalFormatting>
  <conditionalFormatting sqref="AL10">
    <cfRule type="cellIs" dxfId="4" priority="637" operator="lessThanOrEqual">
      <formula>I10</formula>
    </cfRule>
  </conditionalFormatting>
  <conditionalFormatting sqref="AL11">
    <cfRule type="cellIs" dxfId="4" priority="642" operator="lessThanOrEqual">
      <formula>I11</formula>
    </cfRule>
  </conditionalFormatting>
  <conditionalFormatting sqref="AL12">
    <cfRule type="cellIs" dxfId="4" priority="647" operator="lessThanOrEqual">
      <formula>I12</formula>
    </cfRule>
  </conditionalFormatting>
  <conditionalFormatting sqref="AL13">
    <cfRule type="cellIs" dxfId="4" priority="652" operator="lessThanOrEqual">
      <formula>I13</formula>
    </cfRule>
  </conditionalFormatting>
  <conditionalFormatting sqref="AL14">
    <cfRule type="cellIs" dxfId="4" priority="657" operator="lessThanOrEqual">
      <formula>I14</formula>
    </cfRule>
  </conditionalFormatting>
  <conditionalFormatting sqref="AL15">
    <cfRule type="cellIs" dxfId="4" priority="662" operator="lessThanOrEqual">
      <formula>I15</formula>
    </cfRule>
  </conditionalFormatting>
  <conditionalFormatting sqref="AL21">
    <cfRule type="cellIs" dxfId="4" priority="668" operator="lessThanOrEqual">
      <formula>I21</formula>
    </cfRule>
  </conditionalFormatting>
  <conditionalFormatting sqref="AL22">
    <cfRule type="cellIs" dxfId="4" priority="673" operator="lessThanOrEqual">
      <formula>I22</formula>
    </cfRule>
  </conditionalFormatting>
  <conditionalFormatting sqref="AL23">
    <cfRule type="cellIs" dxfId="4" priority="679" operator="lessThanOrEqual">
      <formula>I23</formula>
    </cfRule>
  </conditionalFormatting>
  <conditionalFormatting sqref="AL24">
    <cfRule type="cellIs" dxfId="4" priority="684" operator="lessThanOrEqual">
      <formula>I24</formula>
    </cfRule>
  </conditionalFormatting>
  <conditionalFormatting sqref="AL25">
    <cfRule type="cellIs" dxfId="4" priority="689" operator="lessThanOrEqual">
      <formula>I25</formula>
    </cfRule>
  </conditionalFormatting>
  <conditionalFormatting sqref="AL26">
    <cfRule type="cellIs" dxfId="4" priority="694" operator="lessThanOrEqual">
      <formula>I26</formula>
    </cfRule>
  </conditionalFormatting>
  <conditionalFormatting sqref="AL27">
    <cfRule type="cellIs" dxfId="4" priority="699" operator="lessThanOrEqual">
      <formula>I27</formula>
    </cfRule>
  </conditionalFormatting>
  <conditionalFormatting sqref="AL28">
    <cfRule type="cellIs" dxfId="4" priority="704" operator="lessThanOrEqual">
      <formula>I28</formula>
    </cfRule>
  </conditionalFormatting>
  <conditionalFormatting sqref="AL29">
    <cfRule type="cellIs" dxfId="4" priority="709" operator="lessThanOrEqual">
      <formula>I29</formula>
    </cfRule>
  </conditionalFormatting>
  <conditionalFormatting sqref="AL30">
    <cfRule type="cellIs" dxfId="4" priority="715" operator="lessThanOrEqual">
      <formula>I30</formula>
    </cfRule>
  </conditionalFormatting>
  <conditionalFormatting sqref="AL31">
    <cfRule type="cellIs" dxfId="4" priority="720" operator="lessThanOrEqual">
      <formula>I31</formula>
    </cfRule>
  </conditionalFormatting>
  <conditionalFormatting sqref="AL32">
    <cfRule type="cellIs" dxfId="4" priority="725" operator="lessThanOrEqual">
      <formula>I32</formula>
    </cfRule>
  </conditionalFormatting>
  <conditionalFormatting sqref="AL34">
    <cfRule type="cellIs" dxfId="4" priority="730" operator="lessThanOrEqual">
      <formula>I34</formula>
    </cfRule>
  </conditionalFormatting>
  <conditionalFormatting sqref="AL35">
    <cfRule type="cellIs" dxfId="4" priority="735" operator="lessThanOrEqual">
      <formula>I35</formula>
    </cfRule>
  </conditionalFormatting>
  <conditionalFormatting sqref="AL36">
    <cfRule type="cellIs" dxfId="4" priority="740" operator="lessThanOrEqual">
      <formula>I36</formula>
    </cfRule>
  </conditionalFormatting>
  <conditionalFormatting sqref="AL39">
    <cfRule type="cellIs" dxfId="4" priority="745" operator="lessThanOrEqual">
      <formula>I39</formula>
    </cfRule>
  </conditionalFormatting>
  <conditionalFormatting sqref="AL7">
    <cfRule type="cellIs" dxfId="4" priority="620" operator="lessThanOrEqual">
      <formula>I7</formula>
    </cfRule>
  </conditionalFormatting>
  <conditionalFormatting sqref="AL8">
    <cfRule type="cellIs" dxfId="4" priority="625" operator="lessThanOrEqual">
      <formula>I8</formula>
    </cfRule>
  </conditionalFormatting>
  <conditionalFormatting sqref="AL9">
    <cfRule type="cellIs" dxfId="4" priority="631" operator="lessThanOrEqual">
      <formula>I9</formula>
    </cfRule>
  </conditionalFormatting>
  <conditionalFormatting sqref="AM10">
    <cfRule type="cellIs" dxfId="4" priority="636" operator="lessThanOrEqual">
      <formula>J10</formula>
    </cfRule>
  </conditionalFormatting>
  <conditionalFormatting sqref="AM11">
    <cfRule type="cellIs" dxfId="4" priority="641" operator="lessThanOrEqual">
      <formula>J11</formula>
    </cfRule>
  </conditionalFormatting>
  <conditionalFormatting sqref="AM12">
    <cfRule type="cellIs" dxfId="4" priority="646" operator="lessThanOrEqual">
      <formula>J12</formula>
    </cfRule>
  </conditionalFormatting>
  <conditionalFormatting sqref="AM13">
    <cfRule type="cellIs" dxfId="4" priority="651" operator="lessThanOrEqual">
      <formula>J13</formula>
    </cfRule>
  </conditionalFormatting>
  <conditionalFormatting sqref="AM14">
    <cfRule type="cellIs" dxfId="4" priority="656" operator="lessThanOrEqual">
      <formula>J14</formula>
    </cfRule>
  </conditionalFormatting>
  <conditionalFormatting sqref="AM15">
    <cfRule type="cellIs" dxfId="4" priority="661" operator="lessThanOrEqual">
      <formula>J15</formula>
    </cfRule>
  </conditionalFormatting>
  <conditionalFormatting sqref="AM21">
    <cfRule type="cellIs" dxfId="4" priority="667" operator="lessThanOrEqual">
      <formula>J21</formula>
    </cfRule>
  </conditionalFormatting>
  <conditionalFormatting sqref="AM22">
    <cfRule type="cellIs" dxfId="4" priority="672" operator="lessThanOrEqual">
      <formula>J22</formula>
    </cfRule>
  </conditionalFormatting>
  <conditionalFormatting sqref="AM23">
    <cfRule type="cellIs" dxfId="4" priority="678" operator="lessThanOrEqual">
      <formula>J23</formula>
    </cfRule>
  </conditionalFormatting>
  <conditionalFormatting sqref="AM24">
    <cfRule type="cellIs" dxfId="4" priority="683" operator="lessThanOrEqual">
      <formula>J24</formula>
    </cfRule>
  </conditionalFormatting>
  <conditionalFormatting sqref="AM25">
    <cfRule type="cellIs" dxfId="4" priority="688" operator="lessThanOrEqual">
      <formula>J25</formula>
    </cfRule>
  </conditionalFormatting>
  <conditionalFormatting sqref="AM26">
    <cfRule type="cellIs" dxfId="4" priority="693" operator="lessThanOrEqual">
      <formula>J26</formula>
    </cfRule>
  </conditionalFormatting>
  <conditionalFormatting sqref="AM27">
    <cfRule type="cellIs" dxfId="4" priority="698" operator="lessThanOrEqual">
      <formula>J27</formula>
    </cfRule>
  </conditionalFormatting>
  <conditionalFormatting sqref="AM28">
    <cfRule type="cellIs" dxfId="4" priority="703" operator="lessThanOrEqual">
      <formula>J28</formula>
    </cfRule>
  </conditionalFormatting>
  <conditionalFormatting sqref="AM29">
    <cfRule type="cellIs" dxfId="4" priority="708" operator="lessThanOrEqual">
      <formula>J29</formula>
    </cfRule>
  </conditionalFormatting>
  <conditionalFormatting sqref="AM30">
    <cfRule type="cellIs" dxfId="4" priority="714" operator="lessThanOrEqual">
      <formula>J30</formula>
    </cfRule>
  </conditionalFormatting>
  <conditionalFormatting sqref="AM31">
    <cfRule type="cellIs" dxfId="4" priority="719" operator="lessThanOrEqual">
      <formula>J31</formula>
    </cfRule>
  </conditionalFormatting>
  <conditionalFormatting sqref="AM32">
    <cfRule type="cellIs" dxfId="4" priority="724" operator="lessThanOrEqual">
      <formula>J32</formula>
    </cfRule>
  </conditionalFormatting>
  <conditionalFormatting sqref="AM34">
    <cfRule type="cellIs" dxfId="4" priority="729" operator="lessThanOrEqual">
      <formula>J34</formula>
    </cfRule>
  </conditionalFormatting>
  <conditionalFormatting sqref="AM35">
    <cfRule type="cellIs" dxfId="4" priority="734" operator="lessThanOrEqual">
      <formula>J35</formula>
    </cfRule>
  </conditionalFormatting>
  <conditionalFormatting sqref="AM36">
    <cfRule type="cellIs" dxfId="4" priority="739" operator="lessThanOrEqual">
      <formula>J36</formula>
    </cfRule>
  </conditionalFormatting>
  <conditionalFormatting sqref="AM39">
    <cfRule type="cellIs" dxfId="4" priority="744" operator="lessThanOrEqual">
      <formula>J39</formula>
    </cfRule>
  </conditionalFormatting>
  <conditionalFormatting sqref="AM7">
    <cfRule type="cellIs" dxfId="4" priority="619" operator="lessThanOrEqual">
      <formula>J7</formula>
    </cfRule>
  </conditionalFormatting>
  <conditionalFormatting sqref="AM8">
    <cfRule type="cellIs" dxfId="4" priority="624" operator="lessThanOrEqual">
      <formula>J8</formula>
    </cfRule>
  </conditionalFormatting>
  <conditionalFormatting sqref="AM9">
    <cfRule type="cellIs" dxfId="4" priority="630" operator="lessThanOrEqual">
      <formula>J9</formula>
    </cfRule>
  </conditionalFormatting>
  <conditionalFormatting sqref="AO12">
    <cfRule type="cellIs" dxfId="1" priority="752" operator="equal">
      <formula>0</formula>
    </cfRule>
    <cfRule type="cellIs" dxfId="2" priority="753" operator="lessThan">
      <formula>H12</formula>
    </cfRule>
  </conditionalFormatting>
  <conditionalFormatting sqref="AO21">
    <cfRule type="cellIs" dxfId="1" priority="758" operator="equal">
      <formula>0</formula>
    </cfRule>
    <cfRule type="cellIs" dxfId="2" priority="759" operator="lessThan">
      <formula>H21</formula>
    </cfRule>
  </conditionalFormatting>
  <conditionalFormatting sqref="AO22">
    <cfRule type="cellIs" dxfId="1" priority="764" operator="equal">
      <formula>0</formula>
    </cfRule>
    <cfRule type="cellIs" dxfId="2" priority="765" operator="lessThan">
      <formula>H22</formula>
    </cfRule>
  </conditionalFormatting>
  <conditionalFormatting sqref="AO24">
    <cfRule type="cellIs" dxfId="1" priority="770" operator="equal">
      <formula>0</formula>
    </cfRule>
    <cfRule type="cellIs" dxfId="2" priority="771" operator="lessThan">
      <formula>H24</formula>
    </cfRule>
  </conditionalFormatting>
  <conditionalFormatting sqref="AO25">
    <cfRule type="cellIs" dxfId="1" priority="776" operator="equal">
      <formula>0</formula>
    </cfRule>
    <cfRule type="cellIs" dxfId="2" priority="777" operator="lessThan">
      <formula>H25</formula>
    </cfRule>
  </conditionalFormatting>
  <conditionalFormatting sqref="AO27">
    <cfRule type="cellIs" dxfId="1" priority="782" operator="equal">
      <formula>0</formula>
    </cfRule>
    <cfRule type="cellIs" dxfId="2" priority="783" operator="lessThan">
      <formula>H27</formula>
    </cfRule>
  </conditionalFormatting>
  <conditionalFormatting sqref="AO28">
    <cfRule type="cellIs" dxfId="1" priority="788" operator="equal">
      <formula>0</formula>
    </cfRule>
    <cfRule type="cellIs" dxfId="2" priority="789" operator="lessThan">
      <formula>H28</formula>
    </cfRule>
  </conditionalFormatting>
  <conditionalFormatting sqref="AO30">
    <cfRule type="cellIs" dxfId="1" priority="794" operator="equal">
      <formula>0</formula>
    </cfRule>
    <cfRule type="cellIs" dxfId="2" priority="795" operator="lessThan">
      <formula>H30</formula>
    </cfRule>
  </conditionalFormatting>
  <conditionalFormatting sqref="AO32">
    <cfRule type="cellIs" dxfId="1" priority="800" operator="equal">
      <formula>0</formula>
    </cfRule>
    <cfRule type="cellIs" dxfId="2" priority="801" operator="lessThan">
      <formula>H32</formula>
    </cfRule>
  </conditionalFormatting>
  <conditionalFormatting sqref="AO35">
    <cfRule type="cellIs" dxfId="1" priority="806" operator="equal">
      <formula>0</formula>
    </cfRule>
    <cfRule type="cellIs" dxfId="2" priority="807" operator="lessThan">
      <formula>H35</formula>
    </cfRule>
  </conditionalFormatting>
  <conditionalFormatting sqref="AO36">
    <cfRule type="cellIs" dxfId="1" priority="812" operator="equal">
      <formula>0</formula>
    </cfRule>
    <cfRule type="cellIs" dxfId="2" priority="813" operator="lessThan">
      <formula>H36</formula>
    </cfRule>
  </conditionalFormatting>
  <conditionalFormatting sqref="AO9">
    <cfRule type="cellIs" dxfId="1" priority="746" operator="equal">
      <formula>0</formula>
    </cfRule>
    <cfRule type="cellIs" dxfId="2" priority="747" operator="lessThan">
      <formula>H9</formula>
    </cfRule>
  </conditionalFormatting>
  <conditionalFormatting sqref="AP12">
    <cfRule type="expression" dxfId="3" priority="754">
      <formula>AND(AP12&gt;0,AP12&lt;1000)</formula>
    </cfRule>
    <cfRule type="cellIs" dxfId="1" priority="755" operator="greaterThan">
      <formula>AO12</formula>
    </cfRule>
  </conditionalFormatting>
  <conditionalFormatting sqref="AP21">
    <cfRule type="expression" dxfId="3" priority="760">
      <formula>AND(AP21&gt;0,AP21&lt;1000)</formula>
    </cfRule>
    <cfRule type="cellIs" dxfId="1" priority="761" operator="greaterThan">
      <formula>AO21</formula>
    </cfRule>
  </conditionalFormatting>
  <conditionalFormatting sqref="AP22">
    <cfRule type="expression" dxfId="3" priority="766">
      <formula>AND(AP22&gt;0,AP22&lt;1000)</formula>
    </cfRule>
    <cfRule type="cellIs" dxfId="1" priority="767" operator="greaterThan">
      <formula>AO22</formula>
    </cfRule>
  </conditionalFormatting>
  <conditionalFormatting sqref="AP24">
    <cfRule type="expression" dxfId="3" priority="772">
      <formula>AND(AP24&gt;0,AP24&lt;1000)</formula>
    </cfRule>
    <cfRule type="cellIs" dxfId="1" priority="773" operator="greaterThan">
      <formula>AO24</formula>
    </cfRule>
  </conditionalFormatting>
  <conditionalFormatting sqref="AP25">
    <cfRule type="expression" dxfId="3" priority="778">
      <formula>AND(AP25&gt;0,AP25&lt;1000)</formula>
    </cfRule>
    <cfRule type="cellIs" dxfId="1" priority="779" operator="greaterThan">
      <formula>AO25</formula>
    </cfRule>
  </conditionalFormatting>
  <conditionalFormatting sqref="AP27">
    <cfRule type="expression" dxfId="3" priority="784">
      <formula>AND(AP27&gt;0,AP27&lt;1000)</formula>
    </cfRule>
    <cfRule type="cellIs" dxfId="1" priority="785" operator="greaterThan">
      <formula>AO27</formula>
    </cfRule>
  </conditionalFormatting>
  <conditionalFormatting sqref="AP28">
    <cfRule type="expression" dxfId="3" priority="790">
      <formula>AND(AP28&gt;0,AP28&lt;1000)</formula>
    </cfRule>
    <cfRule type="cellIs" dxfId="1" priority="791" operator="greaterThan">
      <formula>AO28</formula>
    </cfRule>
  </conditionalFormatting>
  <conditionalFormatting sqref="AP30">
    <cfRule type="expression" dxfId="3" priority="796">
      <formula>AND(AP30&gt;0,AP30&lt;30)</formula>
    </cfRule>
    <cfRule type="cellIs" dxfId="1" priority="797" operator="greaterThan">
      <formula>AO30</formula>
    </cfRule>
  </conditionalFormatting>
  <conditionalFormatting sqref="AP32">
    <cfRule type="expression" dxfId="3" priority="802">
      <formula>AND(AP32&gt;0,AP32&lt;18)</formula>
    </cfRule>
    <cfRule type="cellIs" dxfId="1" priority="803" operator="greaterThan">
      <formula>AO32</formula>
    </cfRule>
  </conditionalFormatting>
  <conditionalFormatting sqref="AP35">
    <cfRule type="expression" dxfId="3" priority="808">
      <formula>AND(AP35&gt;0,AP35&lt;50)</formula>
    </cfRule>
    <cfRule type="cellIs" dxfId="1" priority="809" operator="greaterThan">
      <formula>AO35</formula>
    </cfRule>
  </conditionalFormatting>
  <conditionalFormatting sqref="AP36">
    <cfRule type="expression" dxfId="3" priority="814">
      <formula>AND(AP36&gt;0,AP36&lt;20)</formula>
    </cfRule>
    <cfRule type="cellIs" dxfId="1" priority="815" operator="greaterThan">
      <formula>AO36</formula>
    </cfRule>
  </conditionalFormatting>
  <conditionalFormatting sqref="AP9">
    <cfRule type="expression" dxfId="3" priority="748">
      <formula>AND(AP9&gt;0,AP9&lt;20)</formula>
    </cfRule>
    <cfRule type="cellIs" dxfId="1" priority="749" operator="greaterThan">
      <formula>AO9</formula>
    </cfRule>
  </conditionalFormatting>
  <conditionalFormatting sqref="AQ12">
    <cfRule type="cellIs" dxfId="4" priority="757" operator="lessThanOrEqual">
      <formula>I12</formula>
    </cfRule>
  </conditionalFormatting>
  <conditionalFormatting sqref="AQ21">
    <cfRule type="cellIs" dxfId="4" priority="763" operator="lessThanOrEqual">
      <formula>I21</formula>
    </cfRule>
  </conditionalFormatting>
  <conditionalFormatting sqref="AQ22">
    <cfRule type="cellIs" dxfId="4" priority="769" operator="lessThanOrEqual">
      <formula>I22</formula>
    </cfRule>
  </conditionalFormatting>
  <conditionalFormatting sqref="AQ24">
    <cfRule type="cellIs" dxfId="4" priority="775" operator="lessThanOrEqual">
      <formula>I24</formula>
    </cfRule>
  </conditionalFormatting>
  <conditionalFormatting sqref="AQ25">
    <cfRule type="cellIs" dxfId="4" priority="781" operator="lessThanOrEqual">
      <formula>I25</formula>
    </cfRule>
  </conditionalFormatting>
  <conditionalFormatting sqref="AQ27">
    <cfRule type="cellIs" dxfId="4" priority="787" operator="lessThanOrEqual">
      <formula>I27</formula>
    </cfRule>
  </conditionalFormatting>
  <conditionalFormatting sqref="AQ28">
    <cfRule type="cellIs" dxfId="4" priority="793" operator="lessThanOrEqual">
      <formula>I28</formula>
    </cfRule>
  </conditionalFormatting>
  <conditionalFormatting sqref="AQ30">
    <cfRule type="cellIs" dxfId="4" priority="799" operator="lessThanOrEqual">
      <formula>I30</formula>
    </cfRule>
  </conditionalFormatting>
  <conditionalFormatting sqref="AQ32">
    <cfRule type="cellIs" dxfId="4" priority="805" operator="lessThanOrEqual">
      <formula>I32</formula>
    </cfRule>
  </conditionalFormatting>
  <conditionalFormatting sqref="AQ35">
    <cfRule type="cellIs" dxfId="4" priority="811" operator="lessThanOrEqual">
      <formula>I35</formula>
    </cfRule>
  </conditionalFormatting>
  <conditionalFormatting sqref="AQ36">
    <cfRule type="cellIs" dxfId="4" priority="817" operator="lessThanOrEqual">
      <formula>I36</formula>
    </cfRule>
  </conditionalFormatting>
  <conditionalFormatting sqref="AQ9">
    <cfRule type="cellIs" dxfId="4" priority="751" operator="lessThanOrEqual">
      <formula>I9</formula>
    </cfRule>
  </conditionalFormatting>
  <conditionalFormatting sqref="AR12">
    <cfRule type="cellIs" dxfId="4" priority="756" operator="lessThanOrEqual">
      <formula>J12</formula>
    </cfRule>
  </conditionalFormatting>
  <conditionalFormatting sqref="AR21">
    <cfRule type="cellIs" dxfId="4" priority="762" operator="lessThanOrEqual">
      <formula>J21</formula>
    </cfRule>
  </conditionalFormatting>
  <conditionalFormatting sqref="AR22">
    <cfRule type="cellIs" dxfId="4" priority="768" operator="lessThanOrEqual">
      <formula>J22</formula>
    </cfRule>
  </conditionalFormatting>
  <conditionalFormatting sqref="AR24">
    <cfRule type="cellIs" dxfId="4" priority="774" operator="lessThanOrEqual">
      <formula>J24</formula>
    </cfRule>
  </conditionalFormatting>
  <conditionalFormatting sqref="AR25">
    <cfRule type="cellIs" dxfId="4" priority="780" operator="lessThanOrEqual">
      <formula>J25</formula>
    </cfRule>
  </conditionalFormatting>
  <conditionalFormatting sqref="AR27">
    <cfRule type="cellIs" dxfId="4" priority="786" operator="lessThanOrEqual">
      <formula>J27</formula>
    </cfRule>
  </conditionalFormatting>
  <conditionalFormatting sqref="AR28">
    <cfRule type="cellIs" dxfId="4" priority="792" operator="lessThanOrEqual">
      <formula>J28</formula>
    </cfRule>
  </conditionalFormatting>
  <conditionalFormatting sqref="AR30">
    <cfRule type="cellIs" dxfId="4" priority="798" operator="lessThanOrEqual">
      <formula>J30</formula>
    </cfRule>
  </conditionalFormatting>
  <conditionalFormatting sqref="AR32">
    <cfRule type="cellIs" dxfId="4" priority="804" operator="lessThanOrEqual">
      <formula>J32</formula>
    </cfRule>
  </conditionalFormatting>
  <conditionalFormatting sqref="AR35">
    <cfRule type="cellIs" dxfId="4" priority="810" operator="lessThanOrEqual">
      <formula>J35</formula>
    </cfRule>
  </conditionalFormatting>
  <conditionalFormatting sqref="AR36">
    <cfRule type="cellIs" dxfId="4" priority="816" operator="lessThanOrEqual">
      <formula>J36</formula>
    </cfRule>
  </conditionalFormatting>
  <conditionalFormatting sqref="AR9">
    <cfRule type="cellIs" dxfId="4" priority="750" operator="lessThanOrEqual">
      <formula>J9</formula>
    </cfRule>
  </conditionalFormatting>
  <conditionalFormatting sqref="AT14">
    <cfRule type="cellIs" dxfId="1" priority="818" operator="equal">
      <formula>0</formula>
    </cfRule>
    <cfRule type="cellIs" dxfId="2" priority="819" operator="lessThan">
      <formula>H14</formula>
    </cfRule>
  </conditionalFormatting>
  <conditionalFormatting sqref="AT15">
    <cfRule type="cellIs" dxfId="1" priority="824" operator="equal">
      <formula>0</formula>
    </cfRule>
    <cfRule type="cellIs" dxfId="2" priority="825" operator="lessThan">
      <formula>H15</formula>
    </cfRule>
  </conditionalFormatting>
  <conditionalFormatting sqref="AT29">
    <cfRule type="cellIs" dxfId="1" priority="830" operator="equal">
      <formula>0</formula>
    </cfRule>
    <cfRule type="cellIs" dxfId="2" priority="831" operator="lessThan">
      <formula>H29</formula>
    </cfRule>
  </conditionalFormatting>
  <conditionalFormatting sqref="AT35">
    <cfRule type="cellIs" dxfId="1" priority="836" operator="equal">
      <formula>0</formula>
    </cfRule>
    <cfRule type="cellIs" dxfId="2" priority="837" operator="lessThan">
      <formula>H35</formula>
    </cfRule>
  </conditionalFormatting>
  <conditionalFormatting sqref="AT36">
    <cfRule type="cellIs" dxfId="1" priority="842" operator="equal">
      <formula>0</formula>
    </cfRule>
    <cfRule type="cellIs" dxfId="2" priority="843" operator="lessThan">
      <formula>H36</formula>
    </cfRule>
  </conditionalFormatting>
  <conditionalFormatting sqref="AU14">
    <cfRule type="expression" dxfId="3" priority="820">
      <formula>AND(AU14&gt;0,AU14&lt;5)</formula>
    </cfRule>
    <cfRule type="cellIs" dxfId="1" priority="821" operator="greaterThan">
      <formula>AT14</formula>
    </cfRule>
  </conditionalFormatting>
  <conditionalFormatting sqref="AU15">
    <cfRule type="expression" dxfId="3" priority="826">
      <formula>AND(AU15&gt;0,AU15&lt;5)</formula>
    </cfRule>
    <cfRule type="cellIs" dxfId="1" priority="827" operator="greaterThan">
      <formula>AT15</formula>
    </cfRule>
  </conditionalFormatting>
  <conditionalFormatting sqref="AU29">
    <cfRule type="expression" dxfId="3" priority="832">
      <formula>AND(AU29&gt;0,AU29&lt;5)</formula>
    </cfRule>
    <cfRule type="cellIs" dxfId="1" priority="833" operator="greaterThan">
      <formula>AT29</formula>
    </cfRule>
  </conditionalFormatting>
  <conditionalFormatting sqref="AU35">
    <cfRule type="expression" dxfId="3" priority="838">
      <formula>AND(AU35&gt;0,AU35&lt;5)</formula>
    </cfRule>
    <cfRule type="cellIs" dxfId="1" priority="839" operator="greaterThan">
      <formula>AT35</formula>
    </cfRule>
  </conditionalFormatting>
  <conditionalFormatting sqref="AU36">
    <cfRule type="cellIs" dxfId="1" priority="844" operator="greaterThan">
      <formula>AT36</formula>
    </cfRule>
  </conditionalFormatting>
  <conditionalFormatting sqref="AV14">
    <cfRule type="cellIs" dxfId="4" priority="823" operator="lessThanOrEqual">
      <formula>I14</formula>
    </cfRule>
  </conditionalFormatting>
  <conditionalFormatting sqref="AV15">
    <cfRule type="cellIs" dxfId="4" priority="829" operator="lessThanOrEqual">
      <formula>I15</formula>
    </cfRule>
  </conditionalFormatting>
  <conditionalFormatting sqref="AV29">
    <cfRule type="cellIs" dxfId="4" priority="835" operator="lessThanOrEqual">
      <formula>I29</formula>
    </cfRule>
  </conditionalFormatting>
  <conditionalFormatting sqref="AV35">
    <cfRule type="cellIs" dxfId="4" priority="841" operator="lessThanOrEqual">
      <formula>I35</formula>
    </cfRule>
  </conditionalFormatting>
  <conditionalFormatting sqref="AV36">
    <cfRule type="cellIs" dxfId="4" priority="846" operator="lessThanOrEqual">
      <formula>I36</formula>
    </cfRule>
  </conditionalFormatting>
  <conditionalFormatting sqref="AW14">
    <cfRule type="cellIs" dxfId="4" priority="822" operator="lessThanOrEqual">
      <formula>J14</formula>
    </cfRule>
  </conditionalFormatting>
  <conditionalFormatting sqref="AW15">
    <cfRule type="cellIs" dxfId="4" priority="828" operator="lessThanOrEqual">
      <formula>J15</formula>
    </cfRule>
  </conditionalFormatting>
  <conditionalFormatting sqref="AW29">
    <cfRule type="cellIs" dxfId="4" priority="834" operator="lessThanOrEqual">
      <formula>J29</formula>
    </cfRule>
  </conditionalFormatting>
  <conditionalFormatting sqref="AW35">
    <cfRule type="cellIs" dxfId="4" priority="840" operator="lessThanOrEqual">
      <formula>J35</formula>
    </cfRule>
  </conditionalFormatting>
  <conditionalFormatting sqref="AW36">
    <cfRule type="cellIs" dxfId="4" priority="845" operator="lessThanOrEqual">
      <formula>J36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8" operator="equal">
      <formula>0</formula>
    </cfRule>
    <cfRule type="cellIs" dxfId="2" priority="149" operator="lessThan">
      <formula>H10</formula>
    </cfRule>
  </conditionalFormatting>
  <conditionalFormatting sqref="P11">
    <cfRule type="cellIs" dxfId="1" priority="153" operator="equal">
      <formula>0</formula>
    </cfRule>
    <cfRule type="cellIs" dxfId="2" priority="154" operator="lessThan">
      <formula>H11</formula>
    </cfRule>
  </conditionalFormatting>
  <conditionalFormatting sqref="P12">
    <cfRule type="cellIs" dxfId="1" priority="158" operator="equal">
      <formula>0</formula>
    </cfRule>
    <cfRule type="cellIs" dxfId="2" priority="159" operator="lessThan">
      <formula>H12</formula>
    </cfRule>
  </conditionalFormatting>
  <conditionalFormatting sqref="P13">
    <cfRule type="cellIs" dxfId="1" priority="163" operator="equal">
      <formula>0</formula>
    </cfRule>
    <cfRule type="cellIs" dxfId="2" priority="164" operator="lessThan">
      <formula>H13</formula>
    </cfRule>
  </conditionalFormatting>
  <conditionalFormatting sqref="P14">
    <cfRule type="cellIs" dxfId="1" priority="168" operator="equal">
      <formula>0</formula>
    </cfRule>
    <cfRule type="cellIs" dxfId="2" priority="169" operator="lessThan">
      <formula>H14</formula>
    </cfRule>
  </conditionalFormatting>
  <conditionalFormatting sqref="P15">
    <cfRule type="cellIs" dxfId="1" priority="173" operator="equal">
      <formula>0</formula>
    </cfRule>
    <cfRule type="cellIs" dxfId="2" priority="174" operator="lessThan">
      <formula>H15</formula>
    </cfRule>
  </conditionalFormatting>
  <conditionalFormatting sqref="P16">
    <cfRule type="cellIs" dxfId="1" priority="178" operator="equal">
      <formula>0</formula>
    </cfRule>
    <cfRule type="cellIs" dxfId="2" priority="179" operator="lessThan">
      <formula>H16</formula>
    </cfRule>
  </conditionalFormatting>
  <conditionalFormatting sqref="P17">
    <cfRule type="cellIs" dxfId="1" priority="183" operator="equal">
      <formula>0</formula>
    </cfRule>
    <cfRule type="cellIs" dxfId="2" priority="184" operator="lessThan">
      <formula>H17</formula>
    </cfRule>
  </conditionalFormatting>
  <conditionalFormatting sqref="P18">
    <cfRule type="cellIs" dxfId="1" priority="188" operator="equal">
      <formula>0</formula>
    </cfRule>
    <cfRule type="cellIs" dxfId="2" priority="189" operator="lessThan">
      <formula>H18</formula>
    </cfRule>
  </conditionalFormatting>
  <conditionalFormatting sqref="P19">
    <cfRule type="cellIs" dxfId="1" priority="193" operator="equal">
      <formula>0</formula>
    </cfRule>
    <cfRule type="cellIs" dxfId="2" priority="194" operator="lessThan">
      <formula>H19</formula>
    </cfRule>
  </conditionalFormatting>
  <conditionalFormatting sqref="P21">
    <cfRule type="cellIs" dxfId="1" priority="198" operator="equal">
      <formula>0</formula>
    </cfRule>
    <cfRule type="cellIs" dxfId="2" priority="199" operator="lessThan">
      <formula>H21</formula>
    </cfRule>
  </conditionalFormatting>
  <conditionalFormatting sqref="P22">
    <cfRule type="cellIs" dxfId="1" priority="203" operator="equal">
      <formula>0</formula>
    </cfRule>
    <cfRule type="cellIs" dxfId="2" priority="204" operator="lessThan">
      <formula>H22</formula>
    </cfRule>
  </conditionalFormatting>
  <conditionalFormatting sqref="P23">
    <cfRule type="cellIs" dxfId="1" priority="208" operator="equal">
      <formula>0</formula>
    </cfRule>
    <cfRule type="cellIs" dxfId="2" priority="209" operator="lessThan">
      <formula>H23</formula>
    </cfRule>
  </conditionalFormatting>
  <conditionalFormatting sqref="P24">
    <cfRule type="cellIs" dxfId="1" priority="213" operator="equal">
      <formula>0</formula>
    </cfRule>
    <cfRule type="cellIs" dxfId="2" priority="214" operator="lessThan">
      <formula>H24</formula>
    </cfRule>
  </conditionalFormatting>
  <conditionalFormatting sqref="P25">
    <cfRule type="cellIs" dxfId="1" priority="218" operator="equal">
      <formula>0</formula>
    </cfRule>
    <cfRule type="cellIs" dxfId="2" priority="219" operator="lessThan">
      <formula>H25</formula>
    </cfRule>
  </conditionalFormatting>
  <conditionalFormatting sqref="P26">
    <cfRule type="cellIs" dxfId="1" priority="223" operator="equal">
      <formula>0</formula>
    </cfRule>
    <cfRule type="cellIs" dxfId="2" priority="224" operator="lessThan">
      <formula>H26</formula>
    </cfRule>
  </conditionalFormatting>
  <conditionalFormatting sqref="P27">
    <cfRule type="cellIs" dxfId="1" priority="228" operator="equal">
      <formula>0</formula>
    </cfRule>
    <cfRule type="cellIs" dxfId="2" priority="229" operator="lessThan">
      <formula>H27</formula>
    </cfRule>
  </conditionalFormatting>
  <conditionalFormatting sqref="P28">
    <cfRule type="cellIs" dxfId="1" priority="233" operator="equal">
      <formula>0</formula>
    </cfRule>
    <cfRule type="cellIs" dxfId="2" priority="234" operator="lessThan">
      <formula>H28</formula>
    </cfRule>
  </conditionalFormatting>
  <conditionalFormatting sqref="P29">
    <cfRule type="cellIs" dxfId="1" priority="238" operator="equal">
      <formula>0</formula>
    </cfRule>
    <cfRule type="cellIs" dxfId="2" priority="239" operator="lessThan">
      <formula>H29</formula>
    </cfRule>
  </conditionalFormatting>
  <conditionalFormatting sqref="P30">
    <cfRule type="cellIs" dxfId="1" priority="243" operator="equal">
      <formula>0</formula>
    </cfRule>
    <cfRule type="cellIs" dxfId="2" priority="244" operator="lessThan">
      <formula>H30</formula>
    </cfRule>
  </conditionalFormatting>
  <conditionalFormatting sqref="P31">
    <cfRule type="cellIs" dxfId="1" priority="248" operator="equal">
      <formula>0</formula>
    </cfRule>
    <cfRule type="cellIs" dxfId="2" priority="249" operator="lessThan">
      <formula>H31</formula>
    </cfRule>
  </conditionalFormatting>
  <conditionalFormatting sqref="P32">
    <cfRule type="cellIs" dxfId="1" priority="253" operator="equal">
      <formula>0</formula>
    </cfRule>
    <cfRule type="cellIs" dxfId="2" priority="254" operator="lessThan">
      <formula>H32</formula>
    </cfRule>
  </conditionalFormatting>
  <conditionalFormatting sqref="P33">
    <cfRule type="cellIs" dxfId="1" priority="258" operator="equal">
      <formula>0</formula>
    </cfRule>
    <cfRule type="cellIs" dxfId="2" priority="259" operator="lessThan">
      <formula>H33</formula>
    </cfRule>
  </conditionalFormatting>
  <conditionalFormatting sqref="P34">
    <cfRule type="cellIs" dxfId="1" priority="264" operator="equal">
      <formula>0</formula>
    </cfRule>
    <cfRule type="cellIs" dxfId="2" priority="265" operator="lessThan">
      <formula>H34</formula>
    </cfRule>
  </conditionalFormatting>
  <conditionalFormatting sqref="P35">
    <cfRule type="cellIs" dxfId="1" priority="269" operator="equal">
      <formula>0</formula>
    </cfRule>
    <cfRule type="cellIs" dxfId="2" priority="270" operator="lessThan">
      <formula>H35</formula>
    </cfRule>
  </conditionalFormatting>
  <conditionalFormatting sqref="P36">
    <cfRule type="cellIs" dxfId="1" priority="274" operator="equal">
      <formula>0</formula>
    </cfRule>
    <cfRule type="cellIs" dxfId="2" priority="275" operator="lessThan">
      <formula>H36</formula>
    </cfRule>
  </conditionalFormatting>
  <conditionalFormatting sqref="P38">
    <cfRule type="cellIs" dxfId="1" priority="279" operator="equal">
      <formula>0</formula>
    </cfRule>
    <cfRule type="cellIs" dxfId="2" priority="280" operator="lessThan">
      <formula>H38</formula>
    </cfRule>
  </conditionalFormatting>
  <conditionalFormatting sqref="P39">
    <cfRule type="cellIs" dxfId="1" priority="284" operator="equal">
      <formula>0</formula>
    </cfRule>
    <cfRule type="cellIs" dxfId="2" priority="285" operator="lessThan">
      <formula>H39</formula>
    </cfRule>
  </conditionalFormatting>
  <conditionalFormatting sqref="P7">
    <cfRule type="cellIs" dxfId="1" priority="133" operator="equal">
      <formula>0</formula>
    </cfRule>
    <cfRule type="cellIs" dxfId="2" priority="134" operator="lessThan">
      <formula>H7</formula>
    </cfRule>
  </conditionalFormatting>
  <conditionalFormatting sqref="P8">
    <cfRule type="cellIs" dxfId="1" priority="138" operator="equal">
      <formula>0</formula>
    </cfRule>
    <cfRule type="cellIs" dxfId="2" priority="139" operator="lessThan">
      <formula>H8</formula>
    </cfRule>
  </conditionalFormatting>
  <conditionalFormatting sqref="P9">
    <cfRule type="cellIs" dxfId="1" priority="143" operator="equal">
      <formula>0</formula>
    </cfRule>
    <cfRule type="cellIs" dxfId="2" priority="144" operator="lessThan">
      <formula>H9</formula>
    </cfRule>
  </conditionalFormatting>
  <conditionalFormatting sqref="Q10">
    <cfRule type="cellIs" dxfId="1" priority="150" operator="greaterThan">
      <formula>P10</formula>
    </cfRule>
  </conditionalFormatting>
  <conditionalFormatting sqref="Q11">
    <cfRule type="cellIs" dxfId="1" priority="155" operator="greaterThan">
      <formula>P11</formula>
    </cfRule>
  </conditionalFormatting>
  <conditionalFormatting sqref="Q12">
    <cfRule type="cellIs" dxfId="1" priority="160" operator="greaterThan">
      <formula>P12</formula>
    </cfRule>
  </conditionalFormatting>
  <conditionalFormatting sqref="Q13">
    <cfRule type="cellIs" dxfId="1" priority="165" operator="greaterThan">
      <formula>P13</formula>
    </cfRule>
  </conditionalFormatting>
  <conditionalFormatting sqref="Q14">
    <cfRule type="cellIs" dxfId="1" priority="170" operator="greaterThan">
      <formula>P14</formula>
    </cfRule>
  </conditionalFormatting>
  <conditionalFormatting sqref="Q15">
    <cfRule type="cellIs" dxfId="1" priority="175" operator="greaterThan">
      <formula>P15</formula>
    </cfRule>
  </conditionalFormatting>
  <conditionalFormatting sqref="Q16">
    <cfRule type="cellIs" dxfId="1" priority="180" operator="greaterThan">
      <formula>P16</formula>
    </cfRule>
  </conditionalFormatting>
  <conditionalFormatting sqref="Q17">
    <cfRule type="cellIs" dxfId="1" priority="185" operator="greaterThan">
      <formula>P17</formula>
    </cfRule>
  </conditionalFormatting>
  <conditionalFormatting sqref="Q18">
    <cfRule type="cellIs" dxfId="1" priority="190" operator="greaterThan">
      <formula>P18</formula>
    </cfRule>
  </conditionalFormatting>
  <conditionalFormatting sqref="Q19">
    <cfRule type="cellIs" dxfId="1" priority="195" operator="greaterThan">
      <formula>P19</formula>
    </cfRule>
  </conditionalFormatting>
  <conditionalFormatting sqref="Q21">
    <cfRule type="cellIs" dxfId="1" priority="200" operator="greaterThan">
      <formula>P21</formula>
    </cfRule>
  </conditionalFormatting>
  <conditionalFormatting sqref="Q22">
    <cfRule type="cellIs" dxfId="1" priority="205" operator="greaterThan">
      <formula>P22</formula>
    </cfRule>
  </conditionalFormatting>
  <conditionalFormatting sqref="Q23">
    <cfRule type="cellIs" dxfId="1" priority="210" operator="greaterThan">
      <formula>P23</formula>
    </cfRule>
  </conditionalFormatting>
  <conditionalFormatting sqref="Q24">
    <cfRule type="cellIs" dxfId="1" priority="215" operator="greaterThan">
      <formula>P24</formula>
    </cfRule>
  </conditionalFormatting>
  <conditionalFormatting sqref="Q25">
    <cfRule type="cellIs" dxfId="1" priority="220" operator="greaterThan">
      <formula>P25</formula>
    </cfRule>
  </conditionalFormatting>
  <conditionalFormatting sqref="Q26">
    <cfRule type="cellIs" dxfId="1" priority="225" operator="greaterThan">
      <formula>P26</formula>
    </cfRule>
  </conditionalFormatting>
  <conditionalFormatting sqref="Q27">
    <cfRule type="cellIs" dxfId="1" priority="230" operator="greaterThan">
      <formula>P27</formula>
    </cfRule>
  </conditionalFormatting>
  <conditionalFormatting sqref="Q28">
    <cfRule type="cellIs" dxfId="1" priority="235" operator="greaterThan">
      <formula>P28</formula>
    </cfRule>
  </conditionalFormatting>
  <conditionalFormatting sqref="Q29">
    <cfRule type="cellIs" dxfId="1" priority="240" operator="greaterThan">
      <formula>P29</formula>
    </cfRule>
  </conditionalFormatting>
  <conditionalFormatting sqref="Q30">
    <cfRule type="cellIs" dxfId="1" priority="245" operator="greaterThan">
      <formula>P30</formula>
    </cfRule>
  </conditionalFormatting>
  <conditionalFormatting sqref="Q31">
    <cfRule type="cellIs" dxfId="1" priority="250" operator="greaterThan">
      <formula>P31</formula>
    </cfRule>
  </conditionalFormatting>
  <conditionalFormatting sqref="Q32">
    <cfRule type="cellIs" dxfId="1" priority="255" operator="greaterThan">
      <formula>P32</formula>
    </cfRule>
  </conditionalFormatting>
  <conditionalFormatting sqref="Q33">
    <cfRule type="expression" dxfId="3" priority="260">
      <formula>AND(Q33&gt;0,Q33&lt;2000)</formula>
    </cfRule>
    <cfRule type="cellIs" dxfId="1" priority="261" operator="greaterThan">
      <formula>P33</formula>
    </cfRule>
  </conditionalFormatting>
  <conditionalFormatting sqref="Q34">
    <cfRule type="cellIs" dxfId="1" priority="266" operator="greaterThan">
      <formula>P34</formula>
    </cfRule>
  </conditionalFormatting>
  <conditionalFormatting sqref="Q35">
    <cfRule type="cellIs" dxfId="1" priority="271" operator="greaterThan">
      <formula>P35</formula>
    </cfRule>
  </conditionalFormatting>
  <conditionalFormatting sqref="Q36">
    <cfRule type="cellIs" dxfId="1" priority="276" operator="greaterThan">
      <formula>P36</formula>
    </cfRule>
  </conditionalFormatting>
  <conditionalFormatting sqref="Q38">
    <cfRule type="cellIs" dxfId="1" priority="281" operator="greaterThan">
      <formula>P38</formula>
    </cfRule>
  </conditionalFormatting>
  <conditionalFormatting sqref="Q39">
    <cfRule type="cellIs" dxfId="1" priority="286" operator="greaterThan">
      <formula>P39</formula>
    </cfRule>
  </conditionalFormatting>
  <conditionalFormatting sqref="Q7">
    <cfRule type="cellIs" dxfId="1" priority="135" operator="greaterThan">
      <formula>P7</formula>
    </cfRule>
  </conditionalFormatting>
  <conditionalFormatting sqref="Q8">
    <cfRule type="cellIs" dxfId="1" priority="140" operator="greaterThan">
      <formula>P8</formula>
    </cfRule>
  </conditionalFormatting>
  <conditionalFormatting sqref="Q9">
    <cfRule type="cellIs" dxfId="1" priority="145" operator="greaterThan">
      <formula>P9</formula>
    </cfRule>
  </conditionalFormatting>
  <conditionalFormatting sqref="R10">
    <cfRule type="cellIs" dxfId="4" priority="152" operator="lessThanOrEqual">
      <formula>I10</formula>
    </cfRule>
  </conditionalFormatting>
  <conditionalFormatting sqref="R11">
    <cfRule type="cellIs" dxfId="4" priority="157" operator="lessThanOrEqual">
      <formula>I11</formula>
    </cfRule>
  </conditionalFormatting>
  <conditionalFormatting sqref="R12">
    <cfRule type="cellIs" dxfId="4" priority="162" operator="lessThanOrEqual">
      <formula>I12</formula>
    </cfRule>
  </conditionalFormatting>
  <conditionalFormatting sqref="R13">
    <cfRule type="cellIs" dxfId="4" priority="167" operator="lessThanOrEqual">
      <formula>I13</formula>
    </cfRule>
  </conditionalFormatting>
  <conditionalFormatting sqref="R14">
    <cfRule type="cellIs" dxfId="4" priority="172" operator="lessThanOrEqual">
      <formula>I14</formula>
    </cfRule>
  </conditionalFormatting>
  <conditionalFormatting sqref="R15">
    <cfRule type="cellIs" dxfId="4" priority="177" operator="lessThanOrEqual">
      <formula>I15</formula>
    </cfRule>
  </conditionalFormatting>
  <conditionalFormatting sqref="R16">
    <cfRule type="cellIs" dxfId="4" priority="182" operator="lessThanOrEqual">
      <formula>I16</formula>
    </cfRule>
  </conditionalFormatting>
  <conditionalFormatting sqref="R17">
    <cfRule type="cellIs" dxfId="4" priority="187" operator="lessThanOrEqual">
      <formula>I17</formula>
    </cfRule>
  </conditionalFormatting>
  <conditionalFormatting sqref="R18">
    <cfRule type="cellIs" dxfId="4" priority="192" operator="lessThanOrEqual">
      <formula>I18</formula>
    </cfRule>
  </conditionalFormatting>
  <conditionalFormatting sqref="R19">
    <cfRule type="cellIs" dxfId="4" priority="197" operator="lessThanOrEqual">
      <formula>I19</formula>
    </cfRule>
  </conditionalFormatting>
  <conditionalFormatting sqref="R21">
    <cfRule type="cellIs" dxfId="4" priority="202" operator="lessThanOrEqual">
      <formula>I21</formula>
    </cfRule>
  </conditionalFormatting>
  <conditionalFormatting sqref="R22">
    <cfRule type="cellIs" dxfId="4" priority="207" operator="lessThanOrEqual">
      <formula>I22</formula>
    </cfRule>
  </conditionalFormatting>
  <conditionalFormatting sqref="R23">
    <cfRule type="cellIs" dxfId="4" priority="212" operator="lessThanOrEqual">
      <formula>I23</formula>
    </cfRule>
  </conditionalFormatting>
  <conditionalFormatting sqref="R24">
    <cfRule type="cellIs" dxfId="4" priority="217" operator="lessThanOrEqual">
      <formula>I24</formula>
    </cfRule>
  </conditionalFormatting>
  <conditionalFormatting sqref="R25">
    <cfRule type="cellIs" dxfId="4" priority="222" operator="lessThanOrEqual">
      <formula>I25</formula>
    </cfRule>
  </conditionalFormatting>
  <conditionalFormatting sqref="R26">
    <cfRule type="cellIs" dxfId="4" priority="227" operator="lessThanOrEqual">
      <formula>I26</formula>
    </cfRule>
  </conditionalFormatting>
  <conditionalFormatting sqref="R27">
    <cfRule type="cellIs" dxfId="4" priority="232" operator="lessThanOrEqual">
      <formula>I27</formula>
    </cfRule>
  </conditionalFormatting>
  <conditionalFormatting sqref="R28">
    <cfRule type="cellIs" dxfId="4" priority="237" operator="lessThanOrEqual">
      <formula>I28</formula>
    </cfRule>
  </conditionalFormatting>
  <conditionalFormatting sqref="R29">
    <cfRule type="cellIs" dxfId="4" priority="242" operator="lessThanOrEqual">
      <formula>I29</formula>
    </cfRule>
  </conditionalFormatting>
  <conditionalFormatting sqref="R30">
    <cfRule type="cellIs" dxfId="4" priority="247" operator="lessThanOrEqual">
      <formula>I30</formula>
    </cfRule>
  </conditionalFormatting>
  <conditionalFormatting sqref="R31">
    <cfRule type="cellIs" dxfId="4" priority="252" operator="lessThanOrEqual">
      <formula>I31</formula>
    </cfRule>
  </conditionalFormatting>
  <conditionalFormatting sqref="R32">
    <cfRule type="cellIs" dxfId="4" priority="257" operator="lessThanOrEqual">
      <formula>I32</formula>
    </cfRule>
  </conditionalFormatting>
  <conditionalFormatting sqref="R33">
    <cfRule type="cellIs" dxfId="4" priority="263" operator="lessThanOrEqual">
      <formula>I33</formula>
    </cfRule>
  </conditionalFormatting>
  <conditionalFormatting sqref="R34">
    <cfRule type="cellIs" dxfId="4" priority="268" operator="lessThanOrEqual">
      <formula>I34</formula>
    </cfRule>
  </conditionalFormatting>
  <conditionalFormatting sqref="R35">
    <cfRule type="cellIs" dxfId="4" priority="273" operator="lessThanOrEqual">
      <formula>I35</formula>
    </cfRule>
  </conditionalFormatting>
  <conditionalFormatting sqref="R36">
    <cfRule type="cellIs" dxfId="4" priority="278" operator="lessThanOrEqual">
      <formula>I36</formula>
    </cfRule>
  </conditionalFormatting>
  <conditionalFormatting sqref="R38">
    <cfRule type="cellIs" dxfId="4" priority="283" operator="lessThanOrEqual">
      <formula>I38</formula>
    </cfRule>
  </conditionalFormatting>
  <conditionalFormatting sqref="R39">
    <cfRule type="cellIs" dxfId="4" priority="288" operator="lessThanOrEqual">
      <formula>I39</formula>
    </cfRule>
  </conditionalFormatting>
  <conditionalFormatting sqref="R7">
    <cfRule type="cellIs" dxfId="4" priority="137" operator="lessThanOrEqual">
      <formula>I7</formula>
    </cfRule>
  </conditionalFormatting>
  <conditionalFormatting sqref="R8">
    <cfRule type="cellIs" dxfId="4" priority="142" operator="lessThanOrEqual">
      <formula>I8</formula>
    </cfRule>
  </conditionalFormatting>
  <conditionalFormatting sqref="R9">
    <cfRule type="cellIs" dxfId="4" priority="147" operator="lessThanOrEqual">
      <formula>I9</formula>
    </cfRule>
  </conditionalFormatting>
  <conditionalFormatting sqref="S10">
    <cfRule type="cellIs" dxfId="4" priority="151" operator="lessThanOrEqual">
      <formula>J10</formula>
    </cfRule>
  </conditionalFormatting>
  <conditionalFormatting sqref="S11">
    <cfRule type="cellIs" dxfId="4" priority="156" operator="lessThanOrEqual">
      <formula>J11</formula>
    </cfRule>
  </conditionalFormatting>
  <conditionalFormatting sqref="S12">
    <cfRule type="cellIs" dxfId="4" priority="161" operator="lessThanOrEqual">
      <formula>J12</formula>
    </cfRule>
  </conditionalFormatting>
  <conditionalFormatting sqref="S13">
    <cfRule type="cellIs" dxfId="4" priority="166" operator="lessThanOrEqual">
      <formula>J13</formula>
    </cfRule>
  </conditionalFormatting>
  <conditionalFormatting sqref="S14">
    <cfRule type="cellIs" dxfId="4" priority="171" operator="lessThanOrEqual">
      <formula>J14</formula>
    </cfRule>
  </conditionalFormatting>
  <conditionalFormatting sqref="S15">
    <cfRule type="cellIs" dxfId="4" priority="176" operator="lessThanOrEqual">
      <formula>J15</formula>
    </cfRule>
  </conditionalFormatting>
  <conditionalFormatting sqref="S16">
    <cfRule type="cellIs" dxfId="4" priority="181" operator="lessThanOrEqual">
      <formula>J16</formula>
    </cfRule>
  </conditionalFormatting>
  <conditionalFormatting sqref="S17">
    <cfRule type="cellIs" dxfId="4" priority="186" operator="lessThanOrEqual">
      <formula>J17</formula>
    </cfRule>
  </conditionalFormatting>
  <conditionalFormatting sqref="S18">
    <cfRule type="cellIs" dxfId="4" priority="191" operator="lessThanOrEqual">
      <formula>J18</formula>
    </cfRule>
  </conditionalFormatting>
  <conditionalFormatting sqref="S19">
    <cfRule type="cellIs" dxfId="4" priority="196" operator="lessThanOrEqual">
      <formula>J19</formula>
    </cfRule>
  </conditionalFormatting>
  <conditionalFormatting sqref="S21">
    <cfRule type="cellIs" dxfId="4" priority="201" operator="lessThanOrEqual">
      <formula>J21</formula>
    </cfRule>
  </conditionalFormatting>
  <conditionalFormatting sqref="S22">
    <cfRule type="cellIs" dxfId="4" priority="206" operator="lessThanOrEqual">
      <formula>J22</formula>
    </cfRule>
  </conditionalFormatting>
  <conditionalFormatting sqref="S23">
    <cfRule type="cellIs" dxfId="4" priority="211" operator="lessThanOrEqual">
      <formula>J23</formula>
    </cfRule>
  </conditionalFormatting>
  <conditionalFormatting sqref="S24">
    <cfRule type="cellIs" dxfId="4" priority="216" operator="lessThanOrEqual">
      <formula>J24</formula>
    </cfRule>
  </conditionalFormatting>
  <conditionalFormatting sqref="S25">
    <cfRule type="cellIs" dxfId="4" priority="221" operator="lessThanOrEqual">
      <formula>J25</formula>
    </cfRule>
  </conditionalFormatting>
  <conditionalFormatting sqref="S26">
    <cfRule type="cellIs" dxfId="4" priority="226" operator="lessThanOrEqual">
      <formula>J26</formula>
    </cfRule>
  </conditionalFormatting>
  <conditionalFormatting sqref="S27">
    <cfRule type="cellIs" dxfId="4" priority="231" operator="lessThanOrEqual">
      <formula>J27</formula>
    </cfRule>
  </conditionalFormatting>
  <conditionalFormatting sqref="S28">
    <cfRule type="cellIs" dxfId="4" priority="236" operator="lessThanOrEqual">
      <formula>J28</formula>
    </cfRule>
  </conditionalFormatting>
  <conditionalFormatting sqref="S29">
    <cfRule type="cellIs" dxfId="4" priority="241" operator="lessThanOrEqual">
      <formula>J29</formula>
    </cfRule>
  </conditionalFormatting>
  <conditionalFormatting sqref="S30">
    <cfRule type="cellIs" dxfId="4" priority="246" operator="lessThanOrEqual">
      <formula>J30</formula>
    </cfRule>
  </conditionalFormatting>
  <conditionalFormatting sqref="S31">
    <cfRule type="cellIs" dxfId="4" priority="251" operator="lessThanOrEqual">
      <formula>J31</formula>
    </cfRule>
  </conditionalFormatting>
  <conditionalFormatting sqref="S32">
    <cfRule type="cellIs" dxfId="4" priority="256" operator="lessThanOrEqual">
      <formula>J32</formula>
    </cfRule>
  </conditionalFormatting>
  <conditionalFormatting sqref="S33">
    <cfRule type="cellIs" dxfId="4" priority="262" operator="lessThanOrEqual">
      <formula>J33</formula>
    </cfRule>
  </conditionalFormatting>
  <conditionalFormatting sqref="S34">
    <cfRule type="cellIs" dxfId="4" priority="267" operator="lessThanOrEqual">
      <formula>J34</formula>
    </cfRule>
  </conditionalFormatting>
  <conditionalFormatting sqref="S35">
    <cfRule type="cellIs" dxfId="4" priority="272" operator="lessThanOrEqual">
      <formula>J35</formula>
    </cfRule>
  </conditionalFormatting>
  <conditionalFormatting sqref="S36">
    <cfRule type="cellIs" dxfId="4" priority="277" operator="lessThanOrEqual">
      <formula>J36</formula>
    </cfRule>
  </conditionalFormatting>
  <conditionalFormatting sqref="S38">
    <cfRule type="cellIs" dxfId="4" priority="282" operator="lessThanOrEqual">
      <formula>J38</formula>
    </cfRule>
  </conditionalFormatting>
  <conditionalFormatting sqref="S39">
    <cfRule type="cellIs" dxfId="4" priority="287" operator="lessThanOrEqual">
      <formula>J39</formula>
    </cfRule>
  </conditionalFormatting>
  <conditionalFormatting sqref="S7">
    <cfRule type="cellIs" dxfId="4" priority="136" operator="lessThanOrEqual">
      <formula>J7</formula>
    </cfRule>
  </conditionalFormatting>
  <conditionalFormatting sqref="S8">
    <cfRule type="cellIs" dxfId="4" priority="141" operator="lessThanOrEqual">
      <formula>J8</formula>
    </cfRule>
  </conditionalFormatting>
  <conditionalFormatting sqref="S9">
    <cfRule type="cellIs" dxfId="4" priority="146" operator="lessThanOrEqual">
      <formula>J9</formula>
    </cfRule>
  </conditionalFormatting>
  <conditionalFormatting sqref="U10">
    <cfRule type="cellIs" dxfId="1" priority="307" operator="equal">
      <formula>0</formula>
    </cfRule>
    <cfRule type="cellIs" dxfId="2" priority="308" operator="lessThan">
      <formula>H10</formula>
    </cfRule>
  </conditionalFormatting>
  <conditionalFormatting sqref="U11">
    <cfRule type="cellIs" dxfId="1" priority="313" operator="equal">
      <formula>0</formula>
    </cfRule>
    <cfRule type="cellIs" dxfId="2" priority="314" operator="lessThan">
      <formula>H11</formula>
    </cfRule>
  </conditionalFormatting>
  <conditionalFormatting sqref="U12">
    <cfRule type="cellIs" dxfId="1" priority="319" operator="equal">
      <formula>0</formula>
    </cfRule>
    <cfRule type="cellIs" dxfId="2" priority="320" operator="lessThan">
      <formula>H12</formula>
    </cfRule>
  </conditionalFormatting>
  <conditionalFormatting sqref="U13">
    <cfRule type="cellIs" dxfId="1" priority="325" operator="equal">
      <formula>0</formula>
    </cfRule>
    <cfRule type="cellIs" dxfId="2" priority="326" operator="lessThan">
      <formula>H13</formula>
    </cfRule>
  </conditionalFormatting>
  <conditionalFormatting sqref="U14">
    <cfRule type="cellIs" dxfId="1" priority="331" operator="equal">
      <formula>0</formula>
    </cfRule>
    <cfRule type="cellIs" dxfId="2" priority="332" operator="lessThan">
      <formula>H14</formula>
    </cfRule>
  </conditionalFormatting>
  <conditionalFormatting sqref="U15">
    <cfRule type="cellIs" dxfId="1" priority="337" operator="equal">
      <formula>0</formula>
    </cfRule>
    <cfRule type="cellIs" dxfId="2" priority="338" operator="lessThan">
      <formula>H15</formula>
    </cfRule>
  </conditionalFormatting>
  <conditionalFormatting sqref="U21">
    <cfRule type="cellIs" dxfId="1" priority="342" operator="equal">
      <formula>0</formula>
    </cfRule>
    <cfRule type="cellIs" dxfId="2" priority="343" operator="lessThan">
      <formula>H21</formula>
    </cfRule>
  </conditionalFormatting>
  <conditionalFormatting sqref="U22">
    <cfRule type="cellIs" dxfId="1" priority="348" operator="equal">
      <formula>0</formula>
    </cfRule>
    <cfRule type="cellIs" dxfId="2" priority="349" operator="lessThan">
      <formula>H22</formula>
    </cfRule>
  </conditionalFormatting>
  <conditionalFormatting sqref="U23">
    <cfRule type="cellIs" dxfId="1" priority="354" operator="equal">
      <formula>0</formula>
    </cfRule>
    <cfRule type="cellIs" dxfId="2" priority="355" operator="lessThan">
      <formula>H23</formula>
    </cfRule>
  </conditionalFormatting>
  <conditionalFormatting sqref="U24">
    <cfRule type="cellIs" dxfId="1" priority="360" operator="equal">
      <formula>0</formula>
    </cfRule>
    <cfRule type="cellIs" dxfId="2" priority="361" operator="lessThan">
      <formula>H24</formula>
    </cfRule>
  </conditionalFormatting>
  <conditionalFormatting sqref="U25">
    <cfRule type="cellIs" dxfId="1" priority="366" operator="equal">
      <formula>0</formula>
    </cfRule>
    <cfRule type="cellIs" dxfId="2" priority="367" operator="lessThan">
      <formula>H25</formula>
    </cfRule>
  </conditionalFormatting>
  <conditionalFormatting sqref="U26">
    <cfRule type="cellIs" dxfId="1" priority="372" operator="equal">
      <formula>0</formula>
    </cfRule>
    <cfRule type="cellIs" dxfId="2" priority="373" operator="lessThan">
      <formula>H26</formula>
    </cfRule>
  </conditionalFormatting>
  <conditionalFormatting sqref="U27">
    <cfRule type="cellIs" dxfId="1" priority="378" operator="equal">
      <formula>0</formula>
    </cfRule>
    <cfRule type="cellIs" dxfId="2" priority="379" operator="lessThan">
      <formula>H27</formula>
    </cfRule>
  </conditionalFormatting>
  <conditionalFormatting sqref="U28">
    <cfRule type="cellIs" dxfId="1" priority="384" operator="equal">
      <formula>0</formula>
    </cfRule>
    <cfRule type="cellIs" dxfId="2" priority="385" operator="lessThan">
      <formula>H28</formula>
    </cfRule>
  </conditionalFormatting>
  <conditionalFormatting sqref="U29">
    <cfRule type="cellIs" dxfId="1" priority="390" operator="equal">
      <formula>0</formula>
    </cfRule>
    <cfRule type="cellIs" dxfId="2" priority="391" operator="lessThan">
      <formula>H29</formula>
    </cfRule>
  </conditionalFormatting>
  <conditionalFormatting sqref="U30">
    <cfRule type="cellIs" dxfId="1" priority="396" operator="equal">
      <formula>0</formula>
    </cfRule>
    <cfRule type="cellIs" dxfId="2" priority="397" operator="lessThan">
      <formula>H30</formula>
    </cfRule>
  </conditionalFormatting>
  <conditionalFormatting sqref="U31">
    <cfRule type="cellIs" dxfId="1" priority="402" operator="equal">
      <formula>0</formula>
    </cfRule>
    <cfRule type="cellIs" dxfId="2" priority="403" operator="lessThan">
      <formula>H31</formula>
    </cfRule>
  </conditionalFormatting>
  <conditionalFormatting sqref="U32">
    <cfRule type="cellIs" dxfId="1" priority="407" operator="equal">
      <formula>0</formula>
    </cfRule>
    <cfRule type="cellIs" dxfId="2" priority="408" operator="lessThan">
      <formula>H32</formula>
    </cfRule>
  </conditionalFormatting>
  <conditionalFormatting sqref="U34">
    <cfRule type="cellIs" dxfId="1" priority="413" operator="equal">
      <formula>0</formula>
    </cfRule>
    <cfRule type="cellIs" dxfId="2" priority="414" operator="lessThan">
      <formula>H34</formula>
    </cfRule>
  </conditionalFormatting>
  <conditionalFormatting sqref="U35">
    <cfRule type="cellIs" dxfId="1" priority="418" operator="equal">
      <formula>0</formula>
    </cfRule>
    <cfRule type="cellIs" dxfId="2" priority="419" operator="lessThan">
      <formula>H35</formula>
    </cfRule>
  </conditionalFormatting>
  <conditionalFormatting sqref="U36">
    <cfRule type="cellIs" dxfId="1" priority="424" operator="equal">
      <formula>0</formula>
    </cfRule>
    <cfRule type="cellIs" dxfId="2" priority="425" operator="lessThan">
      <formula>H36</formula>
    </cfRule>
  </conditionalFormatting>
  <conditionalFormatting sqref="U39">
    <cfRule type="cellIs" dxfId="1" priority="429" operator="equal">
      <formula>0</formula>
    </cfRule>
    <cfRule type="cellIs" dxfId="2" priority="430" operator="lessThan">
      <formula>H39</formula>
    </cfRule>
  </conditionalFormatting>
  <conditionalFormatting sqref="U7">
    <cfRule type="cellIs" dxfId="1" priority="289" operator="equal">
      <formula>0</formula>
    </cfRule>
    <cfRule type="cellIs" dxfId="2" priority="290" operator="lessThan">
      <formula>H7</formula>
    </cfRule>
  </conditionalFormatting>
  <conditionalFormatting sqref="U8">
    <cfRule type="cellIs" dxfId="1" priority="295" operator="equal">
      <formula>0</formula>
    </cfRule>
    <cfRule type="cellIs" dxfId="2" priority="296" operator="lessThan">
      <formula>H8</formula>
    </cfRule>
  </conditionalFormatting>
  <conditionalFormatting sqref="U9">
    <cfRule type="cellIs" dxfId="1" priority="301" operator="equal">
      <formula>0</formula>
    </cfRule>
    <cfRule type="cellIs" dxfId="2" priority="302" operator="lessThan">
      <formula>H9</formula>
    </cfRule>
  </conditionalFormatting>
  <conditionalFormatting sqref="V10">
    <cfRule type="expression" dxfId="3" priority="309">
      <formula>AND(V10&gt;0,V10&lt;10)</formula>
    </cfRule>
    <cfRule type="cellIs" dxfId="1" priority="310" operator="greaterThan">
      <formula>U10</formula>
    </cfRule>
  </conditionalFormatting>
  <conditionalFormatting sqref="V11">
    <cfRule type="expression" dxfId="3" priority="315">
      <formula>AND(V11&gt;0,V11&lt;10)</formula>
    </cfRule>
    <cfRule type="cellIs" dxfId="1" priority="316" operator="greaterThan">
      <formula>U11</formula>
    </cfRule>
  </conditionalFormatting>
  <conditionalFormatting sqref="V12">
    <cfRule type="expression" dxfId="3" priority="321">
      <formula>AND(V12&gt;0,V12&lt;10)</formula>
    </cfRule>
    <cfRule type="cellIs" dxfId="1" priority="322" operator="greaterThan">
      <formula>U12</formula>
    </cfRule>
  </conditionalFormatting>
  <conditionalFormatting sqref="V13">
    <cfRule type="expression" dxfId="3" priority="327">
      <formula>AND(V13&gt;0,V13&lt;10000)</formula>
    </cfRule>
    <cfRule type="cellIs" dxfId="1" priority="328" operator="greaterThan">
      <formula>U13</formula>
    </cfRule>
  </conditionalFormatting>
  <conditionalFormatting sqref="V14">
    <cfRule type="expression" dxfId="3" priority="333">
      <formula>AND(V14&gt;0,V14&lt;4000)</formula>
    </cfRule>
    <cfRule type="cellIs" dxfId="1" priority="334" operator="greaterThan">
      <formula>U14</formula>
    </cfRule>
  </conditionalFormatting>
  <conditionalFormatting sqref="V15">
    <cfRule type="cellIs" dxfId="1" priority="339" operator="greaterThan">
      <formula>U15</formula>
    </cfRule>
  </conditionalFormatting>
  <conditionalFormatting sqref="V21">
    <cfRule type="expression" dxfId="3" priority="344">
      <formula>AND(V21&gt;0,V21&lt;30000)</formula>
    </cfRule>
    <cfRule type="cellIs" dxfId="1" priority="345" operator="greaterThan">
      <formula>U21</formula>
    </cfRule>
  </conditionalFormatting>
  <conditionalFormatting sqref="V22">
    <cfRule type="expression" dxfId="3" priority="350">
      <formula>AND(V22&gt;0,V22&lt;10)</formula>
    </cfRule>
    <cfRule type="cellIs" dxfId="1" priority="351" operator="greaterThan">
      <formula>U22</formula>
    </cfRule>
  </conditionalFormatting>
  <conditionalFormatting sqref="V23">
    <cfRule type="expression" dxfId="3" priority="356">
      <formula>AND(V23&gt;0,V23&lt;30000)</formula>
    </cfRule>
    <cfRule type="cellIs" dxfId="1" priority="357" operator="greaterThan">
      <formula>U23</formula>
    </cfRule>
  </conditionalFormatting>
  <conditionalFormatting sqref="V24">
    <cfRule type="expression" dxfId="3" priority="362">
      <formula>AND(V24&gt;0,V24&lt;10)</formula>
    </cfRule>
    <cfRule type="cellIs" dxfId="1" priority="363" operator="greaterThan">
      <formula>U24</formula>
    </cfRule>
  </conditionalFormatting>
  <conditionalFormatting sqref="V25">
    <cfRule type="expression" dxfId="3" priority="368">
      <formula>AND(V25&gt;0,V25&lt;30000)</formula>
    </cfRule>
    <cfRule type="cellIs" dxfId="1" priority="369" operator="greaterThan">
      <formula>U25</formula>
    </cfRule>
  </conditionalFormatting>
  <conditionalFormatting sqref="V26">
    <cfRule type="expression" dxfId="3" priority="374">
      <formula>AND(V26&gt;0,V26&lt;30000)</formula>
    </cfRule>
    <cfRule type="cellIs" dxfId="1" priority="375" operator="greaterThan">
      <formula>U26</formula>
    </cfRule>
  </conditionalFormatting>
  <conditionalFormatting sqref="V27">
    <cfRule type="expression" dxfId="3" priority="380">
      <formula>AND(V27&gt;0,V27&lt;30000)</formula>
    </cfRule>
    <cfRule type="cellIs" dxfId="1" priority="381" operator="greaterThan">
      <formula>U27</formula>
    </cfRule>
  </conditionalFormatting>
  <conditionalFormatting sqref="V28">
    <cfRule type="expression" dxfId="3" priority="386">
      <formula>AND(V28&gt;0,V28&lt;30000)</formula>
    </cfRule>
    <cfRule type="cellIs" dxfId="1" priority="387" operator="greaterThan">
      <formula>U28</formula>
    </cfRule>
  </conditionalFormatting>
  <conditionalFormatting sqref="V29">
    <cfRule type="expression" dxfId="3" priority="392">
      <formula>AND(V29&gt;0,V29&lt;10)</formula>
    </cfRule>
    <cfRule type="cellIs" dxfId="1" priority="393" operator="greaterThan">
      <formula>U29</formula>
    </cfRule>
  </conditionalFormatting>
  <conditionalFormatting sqref="V30">
    <cfRule type="expression" dxfId="3" priority="398">
      <formula>AND(V30&gt;0,V30&lt;5)</formula>
    </cfRule>
    <cfRule type="cellIs" dxfId="1" priority="399" operator="greaterThan">
      <formula>U30</formula>
    </cfRule>
  </conditionalFormatting>
  <conditionalFormatting sqref="V31">
    <cfRule type="cellIs" dxfId="1" priority="404" operator="greaterThan">
      <formula>U31</formula>
    </cfRule>
  </conditionalFormatting>
  <conditionalFormatting sqref="V32">
    <cfRule type="expression" dxfId="3" priority="409">
      <formula>AND(V32&gt;0,V32&lt;5)</formula>
    </cfRule>
    <cfRule type="cellIs" dxfId="1" priority="410" operator="greaterThan">
      <formula>U32</formula>
    </cfRule>
  </conditionalFormatting>
  <conditionalFormatting sqref="V34">
    <cfRule type="cellIs" dxfId="1" priority="415" operator="greaterThan">
      <formula>U34</formula>
    </cfRule>
  </conditionalFormatting>
  <conditionalFormatting sqref="V35">
    <cfRule type="expression" dxfId="3" priority="420">
      <formula>AND(V35&gt;0,V35&lt;5)</formula>
    </cfRule>
    <cfRule type="cellIs" dxfId="1" priority="421" operator="greaterThan">
      <formula>U35</formula>
    </cfRule>
  </conditionalFormatting>
  <conditionalFormatting sqref="V36">
    <cfRule type="cellIs" dxfId="1" priority="426" operator="greaterThan">
      <formula>U36</formula>
    </cfRule>
  </conditionalFormatting>
  <conditionalFormatting sqref="V39">
    <cfRule type="expression" dxfId="3" priority="431">
      <formula>AND(V39&gt;0,V39&lt;5)</formula>
    </cfRule>
    <cfRule type="cellIs" dxfId="1" priority="432" operator="greaterThan">
      <formula>U39</formula>
    </cfRule>
  </conditionalFormatting>
  <conditionalFormatting sqref="V7">
    <cfRule type="expression" dxfId="3" priority="291">
      <formula>AND(V7&gt;0,V7&lt;10)</formula>
    </cfRule>
    <cfRule type="cellIs" dxfId="1" priority="292" operator="greaterThan">
      <formula>U7</formula>
    </cfRule>
  </conditionalFormatting>
  <conditionalFormatting sqref="V8">
    <cfRule type="expression" dxfId="3" priority="297">
      <formula>AND(V8&gt;0,V8&lt;10)</formula>
    </cfRule>
    <cfRule type="cellIs" dxfId="1" priority="298" operator="greaterThan">
      <formula>U8</formula>
    </cfRule>
  </conditionalFormatting>
  <conditionalFormatting sqref="V9">
    <cfRule type="expression" dxfId="3" priority="303">
      <formula>AND(V9&gt;0,V9&lt;10)</formula>
    </cfRule>
    <cfRule type="cellIs" dxfId="1" priority="304" operator="greaterThan">
      <formula>U9</formula>
    </cfRule>
  </conditionalFormatting>
  <conditionalFormatting sqref="W10">
    <cfRule type="cellIs" dxfId="4" priority="312" operator="lessThanOrEqual">
      <formula>I10</formula>
    </cfRule>
  </conditionalFormatting>
  <conditionalFormatting sqref="W11">
    <cfRule type="cellIs" dxfId="4" priority="318" operator="lessThanOrEqual">
      <formula>I11</formula>
    </cfRule>
  </conditionalFormatting>
  <conditionalFormatting sqref="W12">
    <cfRule type="cellIs" dxfId="4" priority="324" operator="lessThanOrEqual">
      <formula>I12</formula>
    </cfRule>
  </conditionalFormatting>
  <conditionalFormatting sqref="W13">
    <cfRule type="cellIs" dxfId="4" priority="330" operator="lessThanOrEqual">
      <formula>I13</formula>
    </cfRule>
  </conditionalFormatting>
  <conditionalFormatting sqref="W14">
    <cfRule type="cellIs" dxfId="4" priority="336" operator="lessThanOrEqual">
      <formula>I14</formula>
    </cfRule>
  </conditionalFormatting>
  <conditionalFormatting sqref="W15">
    <cfRule type="cellIs" dxfId="4" priority="341" operator="lessThanOrEqual">
      <formula>I15</formula>
    </cfRule>
  </conditionalFormatting>
  <conditionalFormatting sqref="W21">
    <cfRule type="cellIs" dxfId="4" priority="347" operator="lessThanOrEqual">
      <formula>I21</formula>
    </cfRule>
  </conditionalFormatting>
  <conditionalFormatting sqref="W22">
    <cfRule type="cellIs" dxfId="4" priority="353" operator="lessThanOrEqual">
      <formula>I22</formula>
    </cfRule>
  </conditionalFormatting>
  <conditionalFormatting sqref="W23">
    <cfRule type="cellIs" dxfId="4" priority="359" operator="lessThanOrEqual">
      <formula>I23</formula>
    </cfRule>
  </conditionalFormatting>
  <conditionalFormatting sqref="W24">
    <cfRule type="cellIs" dxfId="4" priority="365" operator="lessThanOrEqual">
      <formula>I24</formula>
    </cfRule>
  </conditionalFormatting>
  <conditionalFormatting sqref="W25">
    <cfRule type="cellIs" dxfId="4" priority="371" operator="lessThanOrEqual">
      <formula>I25</formula>
    </cfRule>
  </conditionalFormatting>
  <conditionalFormatting sqref="W26">
    <cfRule type="cellIs" dxfId="4" priority="377" operator="lessThanOrEqual">
      <formula>I26</formula>
    </cfRule>
  </conditionalFormatting>
  <conditionalFormatting sqref="W27">
    <cfRule type="cellIs" dxfId="4" priority="383" operator="lessThanOrEqual">
      <formula>I27</formula>
    </cfRule>
  </conditionalFormatting>
  <conditionalFormatting sqref="W28">
    <cfRule type="cellIs" dxfId="4" priority="389" operator="lessThanOrEqual">
      <formula>I28</formula>
    </cfRule>
  </conditionalFormatting>
  <conditionalFormatting sqref="W29">
    <cfRule type="cellIs" dxfId="4" priority="395" operator="lessThanOrEqual">
      <formula>I29</formula>
    </cfRule>
  </conditionalFormatting>
  <conditionalFormatting sqref="W30">
    <cfRule type="cellIs" dxfId="4" priority="401" operator="lessThanOrEqual">
      <formula>I30</formula>
    </cfRule>
  </conditionalFormatting>
  <conditionalFormatting sqref="W31">
    <cfRule type="cellIs" dxfId="4" priority="406" operator="lessThanOrEqual">
      <formula>I31</formula>
    </cfRule>
  </conditionalFormatting>
  <conditionalFormatting sqref="W32">
    <cfRule type="cellIs" dxfId="4" priority="412" operator="lessThanOrEqual">
      <formula>I32</formula>
    </cfRule>
  </conditionalFormatting>
  <conditionalFormatting sqref="W34">
    <cfRule type="cellIs" dxfId="4" priority="417" operator="lessThanOrEqual">
      <formula>I34</formula>
    </cfRule>
  </conditionalFormatting>
  <conditionalFormatting sqref="W35">
    <cfRule type="cellIs" dxfId="4" priority="423" operator="lessThanOrEqual">
      <formula>I35</formula>
    </cfRule>
  </conditionalFormatting>
  <conditionalFormatting sqref="W36">
    <cfRule type="cellIs" dxfId="4" priority="428" operator="lessThanOrEqual">
      <formula>I36</formula>
    </cfRule>
  </conditionalFormatting>
  <conditionalFormatting sqref="W39">
    <cfRule type="cellIs" dxfId="4" priority="434" operator="lessThanOrEqual">
      <formula>I39</formula>
    </cfRule>
  </conditionalFormatting>
  <conditionalFormatting sqref="W7">
    <cfRule type="cellIs" dxfId="4" priority="294" operator="lessThanOrEqual">
      <formula>I7</formula>
    </cfRule>
  </conditionalFormatting>
  <conditionalFormatting sqref="W8">
    <cfRule type="cellIs" dxfId="4" priority="300" operator="lessThanOrEqual">
      <formula>I8</formula>
    </cfRule>
  </conditionalFormatting>
  <conditionalFormatting sqref="W9">
    <cfRule type="cellIs" dxfId="4" priority="306" operator="lessThanOrEqual">
      <formula>I9</formula>
    </cfRule>
  </conditionalFormatting>
  <conditionalFormatting sqref="X10">
    <cfRule type="cellIs" dxfId="4" priority="311" operator="lessThanOrEqual">
      <formula>J10</formula>
    </cfRule>
  </conditionalFormatting>
  <conditionalFormatting sqref="X11">
    <cfRule type="cellIs" dxfId="4" priority="317" operator="lessThanOrEqual">
      <formula>J11</formula>
    </cfRule>
  </conditionalFormatting>
  <conditionalFormatting sqref="X12">
    <cfRule type="cellIs" dxfId="4" priority="323" operator="lessThanOrEqual">
      <formula>J12</formula>
    </cfRule>
  </conditionalFormatting>
  <conditionalFormatting sqref="X13">
    <cfRule type="cellIs" dxfId="4" priority="329" operator="lessThanOrEqual">
      <formula>J13</formula>
    </cfRule>
  </conditionalFormatting>
  <conditionalFormatting sqref="X14">
    <cfRule type="cellIs" dxfId="4" priority="335" operator="lessThanOrEqual">
      <formula>J14</formula>
    </cfRule>
  </conditionalFormatting>
  <conditionalFormatting sqref="X15">
    <cfRule type="cellIs" dxfId="4" priority="340" operator="lessThanOrEqual">
      <formula>J15</formula>
    </cfRule>
  </conditionalFormatting>
  <conditionalFormatting sqref="X21">
    <cfRule type="cellIs" dxfId="4" priority="346" operator="lessThanOrEqual">
      <formula>J21</formula>
    </cfRule>
  </conditionalFormatting>
  <conditionalFormatting sqref="X22">
    <cfRule type="cellIs" dxfId="4" priority="352" operator="lessThanOrEqual">
      <formula>J22</formula>
    </cfRule>
  </conditionalFormatting>
  <conditionalFormatting sqref="X23">
    <cfRule type="cellIs" dxfId="4" priority="358" operator="lessThanOrEqual">
      <formula>J23</formula>
    </cfRule>
  </conditionalFormatting>
  <conditionalFormatting sqref="X24">
    <cfRule type="cellIs" dxfId="4" priority="364" operator="lessThanOrEqual">
      <formula>J24</formula>
    </cfRule>
  </conditionalFormatting>
  <conditionalFormatting sqref="X25">
    <cfRule type="cellIs" dxfId="4" priority="370" operator="lessThanOrEqual">
      <formula>J25</formula>
    </cfRule>
  </conditionalFormatting>
  <conditionalFormatting sqref="X26">
    <cfRule type="cellIs" dxfId="4" priority="376" operator="lessThanOrEqual">
      <formula>J26</formula>
    </cfRule>
  </conditionalFormatting>
  <conditionalFormatting sqref="X27">
    <cfRule type="cellIs" dxfId="4" priority="382" operator="lessThanOrEqual">
      <formula>J27</formula>
    </cfRule>
  </conditionalFormatting>
  <conditionalFormatting sqref="X28">
    <cfRule type="cellIs" dxfId="4" priority="388" operator="lessThanOrEqual">
      <formula>J28</formula>
    </cfRule>
  </conditionalFormatting>
  <conditionalFormatting sqref="X29">
    <cfRule type="cellIs" dxfId="4" priority="394" operator="lessThanOrEqual">
      <formula>J29</formula>
    </cfRule>
  </conditionalFormatting>
  <conditionalFormatting sqref="X30">
    <cfRule type="cellIs" dxfId="4" priority="400" operator="lessThanOrEqual">
      <formula>J30</formula>
    </cfRule>
  </conditionalFormatting>
  <conditionalFormatting sqref="X31">
    <cfRule type="cellIs" dxfId="4" priority="405" operator="lessThanOrEqual">
      <formula>J31</formula>
    </cfRule>
  </conditionalFormatting>
  <conditionalFormatting sqref="X32">
    <cfRule type="cellIs" dxfId="4" priority="411" operator="lessThanOrEqual">
      <formula>J32</formula>
    </cfRule>
  </conditionalFormatting>
  <conditionalFormatting sqref="X34">
    <cfRule type="cellIs" dxfId="4" priority="416" operator="lessThanOrEqual">
      <formula>J34</formula>
    </cfRule>
  </conditionalFormatting>
  <conditionalFormatting sqref="X35">
    <cfRule type="cellIs" dxfId="4" priority="422" operator="lessThanOrEqual">
      <formula>J35</formula>
    </cfRule>
  </conditionalFormatting>
  <conditionalFormatting sqref="X36">
    <cfRule type="cellIs" dxfId="4" priority="427" operator="lessThanOrEqual">
      <formula>J36</formula>
    </cfRule>
  </conditionalFormatting>
  <conditionalFormatting sqref="X39">
    <cfRule type="cellIs" dxfId="4" priority="433" operator="lessThanOrEqual">
      <formula>J39</formula>
    </cfRule>
  </conditionalFormatting>
  <conditionalFormatting sqref="X7">
    <cfRule type="cellIs" dxfId="4" priority="293" operator="lessThanOrEqual">
      <formula>J7</formula>
    </cfRule>
  </conditionalFormatting>
  <conditionalFormatting sqref="X8">
    <cfRule type="cellIs" dxfId="4" priority="299" operator="lessThanOrEqual">
      <formula>J8</formula>
    </cfRule>
  </conditionalFormatting>
  <conditionalFormatting sqref="X9">
    <cfRule type="cellIs" dxfId="4" priority="305" operator="lessThanOrEqual">
      <formula>J9</formula>
    </cfRule>
  </conditionalFormatting>
  <conditionalFormatting sqref="Z11">
    <cfRule type="cellIs" dxfId="1" priority="441" operator="equal">
      <formula>0</formula>
    </cfRule>
    <cfRule type="cellIs" dxfId="2" priority="442" operator="lessThan">
      <formula>H11</formula>
    </cfRule>
  </conditionalFormatting>
  <conditionalFormatting sqref="Z12">
    <cfRule type="cellIs" dxfId="1" priority="447" operator="equal">
      <formula>0</formula>
    </cfRule>
    <cfRule type="cellIs" dxfId="2" priority="448" operator="lessThan">
      <formula>H12</formula>
    </cfRule>
  </conditionalFormatting>
  <conditionalFormatting sqref="Z20">
    <cfRule type="cellIs" dxfId="1" priority="453" operator="equal">
      <formula>0</formula>
    </cfRule>
    <cfRule type="cellIs" dxfId="2" priority="454" operator="lessThan">
      <formula>H20</formula>
    </cfRule>
  </conditionalFormatting>
  <conditionalFormatting sqref="Z24">
    <cfRule type="cellIs" dxfId="1" priority="458" operator="equal">
      <formula>0</formula>
    </cfRule>
    <cfRule type="cellIs" dxfId="2" priority="459" operator="lessThan">
      <formula>H24</formula>
    </cfRule>
  </conditionalFormatting>
  <conditionalFormatting sqref="Z27">
    <cfRule type="cellIs" dxfId="1" priority="464" operator="equal">
      <formula>0</formula>
    </cfRule>
    <cfRule type="cellIs" dxfId="2" priority="465" operator="lessThan">
      <formula>H27</formula>
    </cfRule>
  </conditionalFormatting>
  <conditionalFormatting sqref="Z28">
    <cfRule type="cellIs" dxfId="1" priority="470" operator="equal">
      <formula>0</formula>
    </cfRule>
    <cfRule type="cellIs" dxfId="2" priority="471" operator="lessThan">
      <formula>H28</formula>
    </cfRule>
  </conditionalFormatting>
  <conditionalFormatting sqref="Z29">
    <cfRule type="cellIs" dxfId="1" priority="476" operator="equal">
      <formula>0</formula>
    </cfRule>
    <cfRule type="cellIs" dxfId="2" priority="477" operator="lessThan">
      <formula>H29</formula>
    </cfRule>
  </conditionalFormatting>
  <conditionalFormatting sqref="Z33">
    <cfRule type="cellIs" dxfId="1" priority="481" operator="equal">
      <formula>0</formula>
    </cfRule>
    <cfRule type="cellIs" dxfId="2" priority="482" operator="lessThan">
      <formula>H33</formula>
    </cfRule>
  </conditionalFormatting>
  <conditionalFormatting sqref="Z8">
    <cfRule type="cellIs" dxfId="1" priority="435" operator="equal">
      <formula>0</formula>
    </cfRule>
    <cfRule type="cellIs" dxfId="2" priority="436" operator="lessThan">
      <formula>H8</formula>
    </cfRule>
  </conditionalFormatting>
  <hyperlinks>
    <hyperlink ref="G7" r:id="rId1"/>
    <hyperlink ref="T7" r:id="rId2"/>
    <hyperlink ref="Y7" r:id="rId3"/>
    <hyperlink ref="AI7" r:id="rId4"/>
    <hyperlink ref="AN7" r:id="rId5"/>
    <hyperlink ref="G8" r:id="rId6"/>
    <hyperlink ref="T8" r:id="rId7"/>
    <hyperlink ref="Y8" r:id="rId8"/>
    <hyperlink ref="AD8" r:id="rId9"/>
    <hyperlink ref="AI8" r:id="rId10"/>
    <hyperlink ref="AN8" r:id="rId11"/>
    <hyperlink ref="G9" r:id="rId12"/>
    <hyperlink ref="T9" r:id="rId13"/>
    <hyperlink ref="Y9" r:id="rId14"/>
    <hyperlink ref="AI9" r:id="rId15"/>
    <hyperlink ref="AN9" r:id="rId16"/>
    <hyperlink ref="AS9" r:id="rId17"/>
    <hyperlink ref="G10" r:id="rId18"/>
    <hyperlink ref="T10" r:id="rId19"/>
    <hyperlink ref="Y10" r:id="rId20"/>
    <hyperlink ref="AI10" r:id="rId21"/>
    <hyperlink ref="AN10" r:id="rId22"/>
    <hyperlink ref="G11" r:id="rId23"/>
    <hyperlink ref="T11" r:id="rId24"/>
    <hyperlink ref="Y11" r:id="rId25"/>
    <hyperlink ref="AD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G14" r:id="rId41"/>
    <hyperlink ref="T14" r:id="rId42"/>
    <hyperlink ref="Y14" r:id="rId43"/>
    <hyperlink ref="AI14" r:id="rId44"/>
    <hyperlink ref="AN14" r:id="rId45"/>
    <hyperlink ref="AX14" r:id="rId46"/>
    <hyperlink ref="G15" r:id="rId47"/>
    <hyperlink ref="T15" r:id="rId48"/>
    <hyperlink ref="Y15" r:id="rId49"/>
    <hyperlink ref="AI15" r:id="rId50"/>
    <hyperlink ref="AN15" r:id="rId51"/>
    <hyperlink ref="AX15" r:id="rId52"/>
    <hyperlink ref="G16" r:id="rId53"/>
    <hyperlink ref="T16" r:id="rId54"/>
    <hyperlink ref="G17" r:id="rId55"/>
    <hyperlink ref="T17" r:id="rId56"/>
    <hyperlink ref="G18" r:id="rId57"/>
    <hyperlink ref="T18" r:id="rId58"/>
    <hyperlink ref="G19" r:id="rId59"/>
    <hyperlink ref="T19" r:id="rId60"/>
    <hyperlink ref="G20" r:id="rId61"/>
    <hyperlink ref="AD20" r:id="rId62"/>
    <hyperlink ref="G21" r:id="rId63"/>
    <hyperlink ref="T21" r:id="rId64"/>
    <hyperlink ref="Y21" r:id="rId65"/>
    <hyperlink ref="AI21" r:id="rId66"/>
    <hyperlink ref="AN21" r:id="rId67"/>
    <hyperlink ref="AS21" r:id="rId68"/>
    <hyperlink ref="G22" r:id="rId69"/>
    <hyperlink ref="T22" r:id="rId70"/>
    <hyperlink ref="Y22" r:id="rId71"/>
    <hyperlink ref="AI22" r:id="rId72"/>
    <hyperlink ref="AN22" r:id="rId73"/>
    <hyperlink ref="AS22" r:id="rId74"/>
    <hyperlink ref="G23" r:id="rId75"/>
    <hyperlink ref="T23" r:id="rId76"/>
    <hyperlink ref="Y23" r:id="rId77"/>
    <hyperlink ref="AI23" r:id="rId78"/>
    <hyperlink ref="AN23" r:id="rId79"/>
    <hyperlink ref="G24" r:id="rId80"/>
    <hyperlink ref="T24" r:id="rId81"/>
    <hyperlink ref="Y24" r:id="rId82"/>
    <hyperlink ref="AD24" r:id="rId83"/>
    <hyperlink ref="AI24" r:id="rId84"/>
    <hyperlink ref="AN24" r:id="rId85"/>
    <hyperlink ref="AS24" r:id="rId86"/>
    <hyperlink ref="G25" r:id="rId87"/>
    <hyperlink ref="T25" r:id="rId88"/>
    <hyperlink ref="Y25" r:id="rId89"/>
    <hyperlink ref="AI25" r:id="rId90"/>
    <hyperlink ref="AN25" r:id="rId91"/>
    <hyperlink ref="AS25" r:id="rId92"/>
    <hyperlink ref="G26" r:id="rId93"/>
    <hyperlink ref="T26" r:id="rId94"/>
    <hyperlink ref="Y26" r:id="rId95"/>
    <hyperlink ref="AI26" r:id="rId96"/>
    <hyperlink ref="AN26" r:id="rId97"/>
    <hyperlink ref="G27" r:id="rId98"/>
    <hyperlink ref="T27" r:id="rId99"/>
    <hyperlink ref="Y27" r:id="rId100"/>
    <hyperlink ref="AD27" r:id="rId101"/>
    <hyperlink ref="AI27" r:id="rId102"/>
    <hyperlink ref="AN27" r:id="rId103"/>
    <hyperlink ref="AS27" r:id="rId104"/>
    <hyperlink ref="G28" r:id="rId105"/>
    <hyperlink ref="T28" r:id="rId106"/>
    <hyperlink ref="Y28" r:id="rId107"/>
    <hyperlink ref="AD28" r:id="rId108"/>
    <hyperlink ref="AI28" r:id="rId109"/>
    <hyperlink ref="AN28" r:id="rId110"/>
    <hyperlink ref="AS28" r:id="rId111"/>
    <hyperlink ref="G29" r:id="rId112"/>
    <hyperlink ref="T29" r:id="rId113"/>
    <hyperlink ref="Y29" r:id="rId114"/>
    <hyperlink ref="AD29" r:id="rId115"/>
    <hyperlink ref="AI29" r:id="rId116"/>
    <hyperlink ref="AN29" r:id="rId117"/>
    <hyperlink ref="AX29" r:id="rId118"/>
    <hyperlink ref="G30" r:id="rId119"/>
    <hyperlink ref="T30" r:id="rId120"/>
    <hyperlink ref="Y30" r:id="rId121"/>
    <hyperlink ref="AI30" r:id="rId122"/>
    <hyperlink ref="AN30" r:id="rId123"/>
    <hyperlink ref="AS30" r:id="rId124"/>
    <hyperlink ref="G31" r:id="rId125"/>
    <hyperlink ref="T31" r:id="rId126"/>
    <hyperlink ref="Y31" r:id="rId127"/>
    <hyperlink ref="AI31" r:id="rId128"/>
    <hyperlink ref="AN31" r:id="rId129"/>
    <hyperlink ref="G32" r:id="rId130"/>
    <hyperlink ref="T32" r:id="rId131"/>
    <hyperlink ref="Y32" r:id="rId132"/>
    <hyperlink ref="AI32" r:id="rId133"/>
    <hyperlink ref="AN32" r:id="rId134"/>
    <hyperlink ref="AS32" r:id="rId135"/>
    <hyperlink ref="G33" r:id="rId136"/>
    <hyperlink ref="T33" r:id="rId137"/>
    <hyperlink ref="AD33" r:id="rId138"/>
    <hyperlink ref="AI33" r:id="rId139"/>
    <hyperlink ref="G34" r:id="rId140"/>
    <hyperlink ref="T34" r:id="rId141"/>
    <hyperlink ref="Y34" r:id="rId142"/>
    <hyperlink ref="AI34" r:id="rId143"/>
    <hyperlink ref="AN34" r:id="rId144"/>
    <hyperlink ref="G35" r:id="rId145"/>
    <hyperlink ref="T35" r:id="rId146"/>
    <hyperlink ref="Y35" r:id="rId147"/>
    <hyperlink ref="AI35" r:id="rId148"/>
    <hyperlink ref="AN35" r:id="rId149"/>
    <hyperlink ref="AS35" r:id="rId150"/>
    <hyperlink ref="AX35" r:id="rId151"/>
    <hyperlink ref="G36" r:id="rId152"/>
    <hyperlink ref="T36" r:id="rId153"/>
    <hyperlink ref="Y36" r:id="rId154"/>
    <hyperlink ref="AI36" r:id="rId155"/>
    <hyperlink ref="AN36" r:id="rId156"/>
    <hyperlink ref="AS36" r:id="rId157"/>
    <hyperlink ref="AX36" r:id="rId158"/>
    <hyperlink ref="G37" r:id="rId159"/>
    <hyperlink ref="G38" r:id="rId160"/>
    <hyperlink ref="T38" r:id="rId161"/>
    <hyperlink ref="G39" r:id="rId162"/>
    <hyperlink ref="T39" r:id="rId163"/>
    <hyperlink ref="Y39" r:id="rId164"/>
    <hyperlink ref="AI39" r:id="rId165"/>
    <hyperlink ref="AN39" r:id="rId166"/>
    <hyperlink ref="K41" r:id="rId167"/>
    <hyperlink ref="P41" r:id="rId168"/>
    <hyperlink ref="U41" r:id="rId169"/>
    <hyperlink ref="Z41" r:id="rId170"/>
    <hyperlink ref="AE41" r:id="rId171"/>
    <hyperlink ref="AJ41" r:id="rId172"/>
    <hyperlink ref="AO41" r:id="rId173"/>
    <hyperlink ref="AT41" r:id="rId174"/>
  </hyperlinks>
  <pageMargins left="0.7" right="0.7" top="0.75" bottom="0.75" header="0.3" footer="0.3"/>
  <legacyDrawing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2021-08-16T19:25:18Z</dcterms:created>
  <dcterms:modified xsi:type="dcterms:W3CDTF">2021-08-16T19:25:18Z</dcterms:modified>
</cp:coreProperties>
</file>