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P-SID-BOM" sheetId="1" r:id="rId1"/>
  </sheets>
  <definedNames>
    <definedName name="BoardQty" localSheetId="0">'reDIP-SID-BOM'!$J$1</definedName>
    <definedName name="PURCHASE_DESCRIPTION" localSheetId="0">'reDIP-SID-BOM'!$J$44</definedName>
    <definedName name="TotalCost" localSheetId="0">'reDIP-SID-BOM'!$J$3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I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P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V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E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L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M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N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O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P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Q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R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S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T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U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V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M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$0.17      $1.74
    50   $0.10      $5.23
   100   $0.09      $8.83
   500   $0.06     $30.20
  1000   $0.05     $53.43
  2500   $0.05    $127.75
  5000   $0.05    $232.30</t>
        </r>
      </text>
    </comment>
    <comment ref="P7" authorId="0">
      <text>
        <r>
          <rPr>
            <sz val="8"/>
            <color indexed="81"/>
            <rFont val="Tahoma"/>
            <family val="2"/>
          </rPr>
          <t>Desc: CAP CER 2.2UF 16V X6S 0402
Footprint: 0402 (1005 Metric)
Size: 0.039" L x 0.020" W (1.00mm x 0.50mm)
Temp_coeff: X6S
Tolerance: ±10%
Value: 2.2 µF 
Voltage: 16V</t>
        </r>
      </text>
    </comment>
    <comment ref="Q7" authorId="0">
      <text>
        <r>
          <rPr>
            <sz val="8"/>
            <color indexed="81"/>
            <rFont val="Tahoma"/>
            <family val="2"/>
          </rPr>
          <t>57211 In Stock</t>
        </r>
      </text>
    </comment>
    <comment ref="S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$0.14      $1.38
   100   $0.09      $8.90
   500   $0.06     $30.50
  1000   $0.05     $54.00
  2500   $0.05    $130.00
  5000   $0.05    $230.00
 10000   $0.05    $460.00</t>
        </r>
      </text>
    </comment>
    <comment ref="V7" authorId="0">
      <text>
        <r>
          <rPr>
            <sz val="8"/>
            <color indexed="81"/>
            <rFont val="Tahoma"/>
            <family val="2"/>
          </rPr>
          <t>Desc: Multilayer Ceramic Capacitors MLCC - SMD/SMT 2.2UF    16V   10%        0402</t>
        </r>
      </text>
    </comment>
    <comment ref="M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$0.15      $1.54
    50   $0.09      $4.61
   100   $0.08      $7.78
   500   $0.05     $26.62
  1000   $0.05     $47.09
  2500   $0.05    $112.60
  5000   $0.04    $204.75</t>
        </r>
      </text>
    </comment>
    <comment ref="P8" authorId="0">
      <text>
        <r>
          <rPr>
            <sz val="8"/>
            <color indexed="81"/>
            <rFont val="Tahoma"/>
            <family val="2"/>
          </rPr>
          <t>Desc: CAP CER 1UF 6.3V X6S 0201
Footprint: 0201 (0603 Metric)
Size: 0.024" L x 0.012" W (0.60mm x 0.30mm)
Temp_coeff: X6S
Tolerance: ±20%
Value: 1 µF 
Voltage: 6.3V</t>
        </r>
      </text>
    </comment>
    <comment ref="Q8" authorId="0">
      <text>
        <r>
          <rPr>
            <sz val="8"/>
            <color indexed="81"/>
            <rFont val="Tahoma"/>
            <family val="2"/>
          </rPr>
          <t>777764 In Stock</t>
        </r>
      </text>
    </comment>
    <comment ref="S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$0.09      $0.92
   100   $0.05      $5.40
  1000   $0.05     $48.00
  2500   $0.04    $102.50
 10000   $0.04    $360.00
 15000   $0.04    $525.00
 45000   $0.03  $1,440.00
 90000   $0.03  $2,610.00</t>
        </r>
      </text>
    </comment>
    <comment ref="V8" authorId="0">
      <text>
        <r>
          <rPr>
            <sz val="8"/>
            <color indexed="81"/>
            <rFont val="Tahoma"/>
            <family val="2"/>
          </rPr>
          <t>Desc: Multilayer Ceramic Capacitors MLCC - SMD/SMT 1 uF 6.3 VDC 20% 0201 X6S</t>
        </r>
      </text>
    </comment>
    <comment ref="Q9" authorId="0">
      <text>
        <r>
          <rPr>
            <sz val="8"/>
            <color indexed="81"/>
            <rFont val="Tahoma"/>
            <family val="2"/>
          </rPr>
          <t>None</t>
        </r>
      </text>
    </comment>
    <comment ref="S9" authorId="0">
      <text>
        <r>
          <rPr>
            <sz val="8"/>
            <color indexed="81"/>
            <rFont val="Tahoma"/>
            <family val="2"/>
          </rPr>
          <t>Qty/Price Breaks (USD):
  Qty  -  Unit$  -  Ext$
================
 10000   $0.08    $830.00
 20000   $0.08  $1,560.00</t>
        </r>
      </text>
    </comment>
    <comment ref="V9" authorId="0">
      <text>
        <r>
          <rPr>
            <sz val="8"/>
            <color indexed="81"/>
            <rFont val="Tahoma"/>
            <family val="2"/>
          </rPr>
          <t>Desc: Multilayer Ceramic Capacitors MLCC - SMD/SMT</t>
        </r>
      </text>
    </comment>
    <comment ref="M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$0.19
    50   $0.01      $0.52
   100   $0.01      $0.85
   500   $0.01      $3.03
  1000   $0.00      $4.75
  2500   $0.00     $10.80
  5000   $0.00     $19.90</t>
        </r>
      </text>
    </comment>
    <comment ref="P10" authorId="0">
      <text>
        <r>
          <rPr>
            <sz val="8"/>
            <color indexed="81"/>
            <rFont val="Tahoma"/>
            <family val="2"/>
          </rPr>
          <t>Desc: CAP CER 0.22UF 6.3V X5R 0201
Footprint: 0201 (0603 Metric)
Size: 0.024" L x 0.012" W (0.60mm x 0.30mm)
Temp_coeff: X5R
Tolerance: ±20%
Value: 0.22 µF 
Voltage: 6.3V</t>
        </r>
      </text>
    </comment>
    <comment ref="Q10" authorId="0">
      <text>
        <r>
          <rPr>
            <sz val="8"/>
            <color indexed="81"/>
            <rFont val="Tahoma"/>
            <family val="2"/>
          </rPr>
          <t>84464 In Stock</t>
        </r>
      </text>
    </comment>
    <comment ref="S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$0.11
   100   $0.01      $0.70
  1000   $0.01      $5.00
  2500   $0.00     $10.00
 15000   $0.00     $60.00</t>
        </r>
      </text>
    </comment>
    <comment ref="V10" authorId="0">
      <text>
        <r>
          <rPr>
            <sz val="8"/>
            <color indexed="81"/>
            <rFont val="Tahoma"/>
            <family val="2"/>
          </rPr>
          <t>Desc: Multilayer Ceramic Capacitors MLCC - SMD/SMT 0.22 uF 6.3 VDC 20% 0201 X5R</t>
        </r>
      </text>
    </comment>
    <comment ref="M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$0.14      $1.38
    50   $0.09      $4.59
   100   $0.08      $7.80
   500   $0.06     $27.52
  1000   $0.05     $48.16</t>
        </r>
      </text>
    </comment>
    <comment ref="P11" authorId="0">
      <text>
        <r>
          <rPr>
            <sz val="8"/>
            <color indexed="81"/>
            <rFont val="Tahoma"/>
            <family val="2"/>
          </rPr>
          <t>Desc: CAP CER 4.7UF 16V X5R 0603
Footprint: 0603 (1608 Metric)
Size: 0.063" L x 0.031" W (1.60mm x 0.80mm)
Temp_coeff: X5R
Tolerance: ±20%
Value: 4.7 µF 
Voltage: 16V</t>
        </r>
      </text>
    </comment>
    <comment ref="Q11" authorId="0">
      <text>
        <r>
          <rPr>
            <sz val="8"/>
            <color indexed="81"/>
            <rFont val="Tahoma"/>
            <family val="2"/>
          </rPr>
          <t>4417 In Stock</t>
        </r>
      </text>
    </comment>
    <comment ref="S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$0.09      $0.92
   100   $0.06      $5.50
  1000   $0.05     $49.00
  4000   $0.04    $168.00
  8000   $0.04    $296.00
 24000   $0.04    $840.00
 48000   $0.03  $1,632.00
100000   $0.03  $3,200.00</t>
        </r>
      </text>
    </comment>
    <comment ref="V11" authorId="0">
      <text>
        <r>
          <rPr>
            <sz val="8"/>
            <color indexed="81"/>
            <rFont val="Tahoma"/>
            <family val="2"/>
          </rPr>
          <t>Desc: Multilayer Ceramic Capacitors MLCC - SMD/SMT 4.7 uF 16 VDC 20% 0603 X5R</t>
        </r>
      </text>
    </comment>
    <comment ref="M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$0.37      $0.37
    10   $0.26      $2.56
    50   $0.18      $8.95
   100   $0.15     $15.34
   500   $0.12     $57.51
  1000   $0.10     $97.13</t>
        </r>
      </text>
    </comment>
    <comment ref="P12" authorId="0">
      <text>
        <r>
          <rPr>
            <sz val="8"/>
            <color indexed="81"/>
            <rFont val="Tahoma"/>
            <family val="2"/>
          </rPr>
          <t>Desc: CAP TANT 10UF 20% 6.3V 0603
Footprint: 0603 (1608 Metric)
Size: 0.063" L x 0.031" W (1.60mm x 0.80mm)
Tolerance: ±20%
Value: 10 µF 
Voltage: 6.3 V</t>
        </r>
      </text>
    </comment>
    <comment ref="Q12" authorId="0">
      <text>
        <r>
          <rPr>
            <sz val="8"/>
            <color indexed="81"/>
            <rFont val="Tahoma"/>
            <family val="2"/>
          </rPr>
          <t>3922 In Stock</t>
        </r>
      </text>
    </comment>
    <comment ref="S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$0.38      $0.38
    10   $0.18      $1.84
   100   $0.15     $15.50
   500   $0.12     $58.50
  1000   $0.10     $99.00
  2000   $0.09    $186.00
  4000   $0.09    $344.00</t>
        </r>
      </text>
    </comment>
    <comment ref="V12" authorId="0">
      <text>
        <r>
          <rPr>
            <sz val="8"/>
            <color indexed="81"/>
            <rFont val="Tahoma"/>
            <family val="2"/>
          </rPr>
          <t>Desc: Tantalum Capacitors - Solid SMD 6.3volts 10uF 20% Molded Case, 0603</t>
        </r>
      </text>
    </comment>
    <comment ref="M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$0.33      $0.33
    10   $0.26      $2.58
   100   $0.12     $11.58
   500   $0.10     $52.32
  1000   $0.09     $85.95
  2000   $0.07    $149.48</t>
        </r>
      </text>
    </comment>
    <comment ref="P13" authorId="0">
      <text>
        <r>
          <rPr>
            <sz val="8"/>
            <color indexed="81"/>
            <rFont val="Tahoma"/>
            <family val="2"/>
          </rPr>
          <t>Desc: LED GREEN CLEAR 2SMD
Footprint: 2-SMD, No Lead
Size: 0.65mm L x 0.38mm W</t>
        </r>
      </text>
    </comment>
    <comment ref="Q13" authorId="0">
      <text>
        <r>
          <rPr>
            <sz val="8"/>
            <color indexed="81"/>
            <rFont val="Tahoma"/>
            <family val="2"/>
          </rPr>
          <t>10775 In Stock</t>
        </r>
      </text>
    </comment>
    <comment ref="S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10   $0.23      $2.33
   100   $0.10     $10.50
  1000   $0.07     $75.00
  5000   $0.07    $330.00
 10000   $0.05    $540.00
 25000   $0.05  $1,250.00
100000   $0.04  $4,500.00</t>
        </r>
      </text>
    </comment>
    <comment ref="V13" authorId="0">
      <text>
        <r>
          <rPr>
            <sz val="8"/>
            <color indexed="81"/>
            <rFont val="Tahoma"/>
            <family val="2"/>
          </rPr>
          <t>Desc: Standard LEDs - SMD 0201 SMD LEDs 520nm Green</t>
        </r>
      </text>
    </comment>
    <comment ref="M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$0.81      $0.81
    10   $0.69      $6.88
    25   $0.66     $16.50
    50   $0.65     $32.29
   100   $0.62     $61.77
   250   $0.56    $140.39</t>
        </r>
      </text>
    </comment>
    <comment ref="P18" authorId="0">
      <text>
        <r>
          <rPr>
            <sz val="8"/>
            <color indexed="81"/>
            <rFont val="Tahoma"/>
            <family val="2"/>
          </rPr>
          <t>Desc: CONN RCP USB2.0 TYP C 24P SMD RA
Voltage: 48VDC</t>
        </r>
      </text>
    </comment>
    <comment ref="Q18" authorId="0">
      <text>
        <r>
          <rPr>
            <sz val="8"/>
            <color indexed="81"/>
            <rFont val="Tahoma"/>
            <family val="2"/>
          </rPr>
          <t>179515 In Stock</t>
        </r>
      </text>
    </comment>
    <comment ref="S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$0.80      $0.80
    10   $0.64      $6.43
   100   $0.56     $56.00
   500   $0.49    $245.00
   800   $0.41    $324.80
  4800   $0.37  $1,780.80
  9600   $0.36  $3,484.80</t>
        </r>
      </text>
    </comment>
    <comment ref="V18" authorId="0">
      <text>
        <r>
          <rPr>
            <sz val="8"/>
            <color indexed="81"/>
            <rFont val="Tahoma"/>
            <family val="2"/>
          </rPr>
          <t>Desc: USB Connectors USB Type C,2.0, Rec,SMT, 0.95mmTH Shell Stakes,G/F,RA,Top Mnt,T&amp;R</t>
        </r>
      </text>
    </comment>
    <comment ref="M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$0.61
   100   $0.02      $2.47
  1000   $0.01     $11.08
  2500   $0.01     $24.05
  5000   $0.01     $39.70</t>
        </r>
      </text>
    </comment>
    <comment ref="P19" authorId="0">
      <text>
        <r>
          <rPr>
            <sz val="8"/>
            <color indexed="81"/>
            <rFont val="Tahoma"/>
            <family val="2"/>
          </rPr>
          <t xml:space="preserve">Desc: RES SMD 1K OHM 1% 1/20W 0201
Footprint: 0201 (0603 Metric)
Power: 0.05W, 1/20W
Size: 0.024" L x 0.012" W (0.60mm x 0.30mm)
Temp_coeff: ±200ppm/°C
Tolerance: ±1%
Value: 1 kOhms </t>
        </r>
      </text>
    </comment>
    <comment ref="Q19" authorId="0">
      <text>
        <r>
          <rPr>
            <sz val="8"/>
            <color indexed="81"/>
            <rFont val="Tahoma"/>
            <family val="2"/>
          </rPr>
          <t>1623010 In Stock</t>
        </r>
      </text>
    </comment>
    <comment ref="S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$0.06      $0.62
   100   $0.03      $2.60
  1000   $0.01     $12.00
  2500   $0.01     $25.00
  5000   $0.01     $45.00
 15000   $0.01    $135.00</t>
        </r>
      </text>
    </comment>
    <comment ref="V19" authorId="0">
      <text>
        <r>
          <rPr>
            <sz val="8"/>
            <color indexed="81"/>
            <rFont val="Tahoma"/>
            <family val="2"/>
          </rPr>
          <t>Desc: Thick Film Resistors - SMD 0201 1Kohm 1% HalogenFree AEC-Q200</t>
        </r>
      </text>
    </comment>
    <comment ref="M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$0.61
   100   $0.02      $2.47
  1000   $0.01     $11.08
  2500   $0.01     $24.05
  5000   $0.01     $39.70</t>
        </r>
      </text>
    </comment>
    <comment ref="P20" authorId="0">
      <text>
        <r>
          <rPr>
            <sz val="8"/>
            <color indexed="81"/>
            <rFont val="Tahoma"/>
            <family val="2"/>
          </rPr>
          <t xml:space="preserve">Desc: RES SMD 6.2K OHM 1% 1/20W 0201
Footprint: 0201 (0603 Metric)
Power: 0.05W, 1/20W
Size: 0.024" L x 0.012" W (0.60mm x 0.30mm)
Temp_coeff: ±200ppm/°C
Tolerance: ±1%
Value: 6.2 kOhms </t>
        </r>
      </text>
    </comment>
    <comment ref="Q20" authorId="0">
      <text>
        <r>
          <rPr>
            <sz val="8"/>
            <color indexed="81"/>
            <rFont val="Tahoma"/>
            <family val="2"/>
          </rPr>
          <t>26038 In Stock</t>
        </r>
      </text>
    </comment>
    <comment ref="S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$0.06      $0.62
   100   $0.03      $2.60
  1000   $0.01     $12.00
  2500   $0.01     $25.00
  5000   $0.01     $45.00
 15000   $0.01    $135.00</t>
        </r>
      </text>
    </comment>
    <comment ref="V20" authorId="0">
      <text>
        <r>
          <rPr>
            <sz val="8"/>
            <color indexed="81"/>
            <rFont val="Tahoma"/>
            <family val="2"/>
          </rPr>
          <t>Desc: Thick Film Resistors - SMD 0201 6.2Kohm 1% HalogenFree AEC-Q200</t>
        </r>
      </text>
    </comment>
    <comment ref="M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$0.33
   100   $0.01      $1.33
  1000   $0.01      $5.99
  2500   $0.01     $13.00
  5000   $0.00     $21.45</t>
        </r>
      </text>
    </comment>
    <comment ref="P21" authorId="0">
      <text>
        <r>
          <rPr>
            <sz val="8"/>
            <color indexed="81"/>
            <rFont val="Tahoma"/>
            <family val="2"/>
          </rPr>
          <t xml:space="preserve">Desc: RES SMD 2.2K OHM 5% 1/20W 0201
Footprint: 0201 (0603 Metric)
Power: 0.05W, 1/20W
Size: 0.024" L x 0.012" W (0.60mm x 0.30mm)
Temp_coeff: ±200ppm/°C
Tolerance: ±5%
Value: 2.2 kOhms </t>
        </r>
      </text>
    </comment>
    <comment ref="Q21" authorId="0">
      <text>
        <r>
          <rPr>
            <sz val="8"/>
            <color indexed="81"/>
            <rFont val="Tahoma"/>
            <family val="2"/>
          </rPr>
          <t>93933 In Stock</t>
        </r>
      </text>
    </comment>
    <comment ref="S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100   $0.01      $1.40
  1000   $0.01      $7.00
  2500   $0.01     $15.00
  5000   $0.01     $25.00
 15000   $0.01     $75.00</t>
        </r>
      </text>
    </comment>
    <comment ref="V21" authorId="0">
      <text>
        <r>
          <rPr>
            <sz val="8"/>
            <color indexed="81"/>
            <rFont val="Tahoma"/>
            <family val="2"/>
          </rPr>
          <t>Desc: Thick Film Resistors - SMD 0201 2.2Kohm 5% HalogenFree AEC-Q200</t>
        </r>
      </text>
    </comment>
    <comment ref="M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$0.33
   100   $0.01      $1.33
  1000   $0.01      $5.99
  2500   $0.01     $13.00
  5000   $0.00     $21.45</t>
        </r>
      </text>
    </comment>
    <comment ref="P22" authorId="0">
      <text>
        <r>
          <rPr>
            <sz val="8"/>
            <color indexed="81"/>
            <rFont val="Tahoma"/>
            <family val="2"/>
          </rPr>
          <t xml:space="preserve">Desc: RES SMD 1.5K OHM 5% 1/20W 0201
Footprint: 0201 (0603 Metric)
Power: 0.05W, 1/20W
Size: 0.024" L x 0.012" W (0.60mm x 0.30mm)
Temp_coeff: ±200ppm/°C
Tolerance: ±5%
Value: 1.5 kOhms </t>
        </r>
      </text>
    </comment>
    <comment ref="Q22" authorId="0">
      <text>
        <r>
          <rPr>
            <sz val="8"/>
            <color indexed="81"/>
            <rFont val="Tahoma"/>
            <family val="2"/>
          </rPr>
          <t>135542 In Stock</t>
        </r>
      </text>
    </comment>
    <comment ref="S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100   $0.01      $1.40
  1000   $0.01      $7.00
  2500   $0.01     $15.00
  5000   $0.01     $25.00
 15000   $0.01     $75.00</t>
        </r>
      </text>
    </comment>
    <comment ref="V22" authorId="0">
      <text>
        <r>
          <rPr>
            <sz val="8"/>
            <color indexed="81"/>
            <rFont val="Tahoma"/>
            <family val="2"/>
          </rPr>
          <t>Desc: Thick Film Resistors - SMD 0201 1.5Kohm 5% HalogenFree AEC-Q200</t>
        </r>
      </text>
    </comment>
    <comment ref="M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$0.35
    50   $0.02      $1.13
   100   $0.02      $1.90
   500   $0.01      $6.63
  1000   $0.01     $11.55
  5000   $0.01     $43.00</t>
        </r>
      </text>
    </comment>
    <comment ref="P23" authorId="0">
      <text>
        <r>
          <rPr>
            <sz val="8"/>
            <color indexed="81"/>
            <rFont val="Tahoma"/>
            <family val="2"/>
          </rPr>
          <t xml:space="preserve">Desc: RES SMD 100K OHM 1% 1/20W 0201
Footprint: 0201 (0603 Metric)
Power: 0.05W, 1/20W
Size: 0.024" L x 0.012" W (0.60mm x 0.30mm)
Temp_coeff: ±200ppm/°C
Tolerance: ±1%
Value: 100 kOhms </t>
        </r>
      </text>
    </comment>
    <comment ref="Q23" authorId="0">
      <text>
        <r>
          <rPr>
            <sz val="8"/>
            <color indexed="81"/>
            <rFont val="Tahoma"/>
            <family val="2"/>
          </rPr>
          <t>448736 In Stock</t>
        </r>
      </text>
    </comment>
    <comment ref="S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$0.62
   100   $0.03      $2.60
  1000   $0.01     $12.00
  2500   $0.01     $25.00
 10000   $0.01     $70.00
 15000   $0.01     $90.00
 45000   $0.01    $225.00</t>
        </r>
      </text>
    </comment>
    <comment ref="V23" authorId="0">
      <text>
        <r>
          <rPr>
            <sz val="8"/>
            <color indexed="81"/>
            <rFont val="Tahoma"/>
            <family val="2"/>
          </rPr>
          <t>Desc: Thick Film Resistors - SMD 0201 100Kohm 1% HalogenFree AEC-Q200</t>
        </r>
      </text>
    </comment>
    <comment ref="M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$0.35
    50   $0.02      $1.13
   100   $0.02      $1.90
   500   $0.01      $6.63
  1000   $0.01     $11.55
  5000   $0.01     $43.00</t>
        </r>
      </text>
    </comment>
    <comment ref="P24" authorId="0">
      <text>
        <r>
          <rPr>
            <sz val="8"/>
            <color indexed="81"/>
            <rFont val="Tahoma"/>
            <family val="2"/>
          </rPr>
          <t xml:space="preserve">Desc: RES SMD 20K OHM 1% 1/20W 0201
Footprint: 0201 (0603 Metric)
Power: 0.05W, 1/20W
Size: 0.024" L x 0.012" W (0.60mm x 0.30mm)
Temp_coeff: ±200ppm/°C
Tolerance: ±1%
Value: 20 kOhms </t>
        </r>
      </text>
    </comment>
    <comment ref="Q24" authorId="0">
      <text>
        <r>
          <rPr>
            <sz val="8"/>
            <color indexed="81"/>
            <rFont val="Tahoma"/>
            <family val="2"/>
          </rPr>
          <t>964117 In Stock</t>
        </r>
      </text>
    </comment>
    <comment ref="S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$0.22
   100   $0.01      $1.40
  1000   $0.01     $10.00
  2500   $0.01     $22.50
 10000   $0.01     $70.00
 15000   $0.01     $75.00</t>
        </r>
      </text>
    </comment>
    <comment ref="V24" authorId="0">
      <text>
        <r>
          <rPr>
            <sz val="8"/>
            <color indexed="81"/>
            <rFont val="Tahoma"/>
            <family val="2"/>
          </rPr>
          <t>Desc: Thick Film Resistors - SMD 0201 20Kohm 1% HalogenFree AEC-Q200</t>
        </r>
      </text>
    </comment>
    <comment ref="M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$0.35
    50   $0.02      $1.13
   100   $0.02      $1.90
   500   $0.01      $6.63
  1000   $0.01     $11.55
  5000   $0.01     $43.00</t>
        </r>
      </text>
    </comment>
    <comment ref="P25" authorId="0">
      <text>
        <r>
          <rPr>
            <sz val="8"/>
            <color indexed="81"/>
            <rFont val="Tahoma"/>
            <family val="2"/>
          </rPr>
          <t xml:space="preserve">Desc: RES SMD 10K OHM 1% 1/20W 0201
Footprint: 0201 (0603 Metric)
Power: 0.05W, 1/20W
Size: 0.024" L x 0.012" W (0.60mm x 0.30mm)
Temp_coeff: ±200ppm/°C
Tolerance: ±1%
Value: 10 kOhms </t>
        </r>
      </text>
    </comment>
    <comment ref="Q25" authorId="0">
      <text>
        <r>
          <rPr>
            <sz val="8"/>
            <color indexed="81"/>
            <rFont val="Tahoma"/>
            <family val="2"/>
          </rPr>
          <t>2408384 In Stock</t>
        </r>
      </text>
    </comment>
    <comment ref="S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$0.30
   100   $0.01      $1.40
  1000   $0.01     $10.00
  2500   $0.01     $17.50
 15000   $0.01     $90.00</t>
        </r>
      </text>
    </comment>
    <comment ref="V25" authorId="0">
      <text>
        <r>
          <rPr>
            <sz val="8"/>
            <color indexed="81"/>
            <rFont val="Tahoma"/>
            <family val="2"/>
          </rPr>
          <t>Desc: Thick Film Resistors - SMD 0201 10Kohm 1% HalogenFree AEC-Q200</t>
        </r>
      </text>
    </comment>
    <comment ref="M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$0.01      $0.75
   100   $0.01      $1.25
   500   $0.01      $4.24
  1000   $0.01      $7.31
  5000   $0.01     $26.55</t>
        </r>
      </text>
    </comment>
    <comment ref="P26" authorId="0">
      <text>
        <r>
          <rPr>
            <sz val="8"/>
            <color indexed="81"/>
            <rFont val="Tahoma"/>
            <family val="2"/>
          </rPr>
          <t xml:space="preserve">Desc: RES SMD 5.1K OHM 5% 1/20W 0201
Footprint: 0201 (0603 Metric)
Power: 0.05W, 1/20W
Size: 0.024" L x 0.012" W (0.60mm x 0.30mm)
Temp_coeff: ±200ppm/°C
Tolerance: ±5%
Value: 5.1 kOhms </t>
        </r>
      </text>
    </comment>
    <comment ref="Q26" authorId="0">
      <text>
        <r>
          <rPr>
            <sz val="8"/>
            <color indexed="81"/>
            <rFont val="Tahoma"/>
            <family val="2"/>
          </rPr>
          <t>27271 In Stock</t>
        </r>
      </text>
    </comment>
    <comment ref="S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$0.17
   100   $0.01      $0.70
  1000   $0.01      $6.00
  2500   $0.00     $10.00
 15000   $0.00     $45.00</t>
        </r>
      </text>
    </comment>
    <comment ref="V26" authorId="0">
      <text>
        <r>
          <rPr>
            <sz val="8"/>
            <color indexed="81"/>
            <rFont val="Tahoma"/>
            <family val="2"/>
          </rPr>
          <t>Desc: Thick Film Resistors - SMD 0201 5.1Kohm 5% HalogenFree AEC-Q200</t>
        </r>
      </text>
    </comment>
    <comment ref="M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$0.01      $0.75
   100   $0.01      $1.25
   500   $0.01      $4.24
  1000   $0.01      $7.31
  5000   $0.01     $26.55</t>
        </r>
      </text>
    </comment>
    <comment ref="P27" authorId="0">
      <text>
        <r>
          <rPr>
            <sz val="8"/>
            <color indexed="81"/>
            <rFont val="Tahoma"/>
            <family val="2"/>
          </rPr>
          <t xml:space="preserve">Desc: RES SMD 100 OHM 5% 1/20W 0201
Footprint: 0201 (0603 Metric)
Power: 0.05W, 1/20W
Size: 0.024" L x 0.012" W (0.60mm x 0.30mm)
Temp_coeff: ±200ppm/°C
Tolerance: ±5%
Value: 100 Ohms </t>
        </r>
      </text>
    </comment>
    <comment ref="Q27" authorId="0">
      <text>
        <r>
          <rPr>
            <sz val="8"/>
            <color indexed="81"/>
            <rFont val="Tahoma"/>
            <family val="2"/>
          </rPr>
          <t>91154 In Stock</t>
        </r>
      </text>
    </comment>
    <comment ref="S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$0.17
   100   $0.01      $0.70
  1000   $0.01      $6.00
  2500   $0.00     $10.00
 15000   $0.00     $45.00</t>
        </r>
      </text>
    </comment>
    <comment ref="V27" authorId="0">
      <text>
        <r>
          <rPr>
            <sz val="8"/>
            <color indexed="81"/>
            <rFont val="Tahoma"/>
            <family val="2"/>
          </rPr>
          <t>Desc: Thick Film Resistors - SMD 0201 100ohm 5% HalogenFree AEC-Q200</t>
        </r>
      </text>
    </comment>
    <comment ref="M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 25   $0.02      $0.53
    50   $0.02      $0.81
   100   $0.01      $1.19
   250   $0.01      $2.27
   500   $0.01      $3.64
  1000   $0.01      $5.35
  5000   $0.00     $19.20</t>
        </r>
      </text>
    </comment>
    <comment ref="P28" authorId="0">
      <text>
        <r>
          <rPr>
            <sz val="8"/>
            <color indexed="81"/>
            <rFont val="Tahoma"/>
            <family val="2"/>
          </rPr>
          <t xml:space="preserve">Desc: RES SMD 0 OHM JUMPER 1/20W 0201
Footprint: 0201 (0603 Metric)
Power: -
Size: 0.024" L x 0.012" W (0.60mm x 0.30mm)
Temp_coeff: -
Tolerance: Jumper
Value: 0 Ohms </t>
        </r>
      </text>
    </comment>
    <comment ref="Q28" authorId="0">
      <text>
        <r>
          <rPr>
            <sz val="8"/>
            <color indexed="81"/>
            <rFont val="Tahoma"/>
            <family val="2"/>
          </rPr>
          <t>2852273 In Stock</t>
        </r>
      </text>
    </comment>
    <comment ref="S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$0.16
   100   $0.01      $0.70
  2500   $0.01     $12.50
 15000   $0.00     $45.00</t>
        </r>
      </text>
    </comment>
    <comment ref="V28" authorId="0">
      <text>
        <r>
          <rPr>
            <sz val="8"/>
            <color indexed="81"/>
            <rFont val="Tahoma"/>
            <family val="2"/>
          </rPr>
          <t>Desc: Thick Film Resistors - SMD 0201 Zero Ohms 1% Tol AEC-Q200</t>
        </r>
      </text>
    </comment>
    <comment ref="M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$0.35
    50   $0.02      $1.13
   100   $0.02      $1.90
   500   $0.01      $6.63
  1000   $0.01     $11.55
  5000   $0.01     $43.00</t>
        </r>
      </text>
    </comment>
    <comment ref="P29" authorId="0">
      <text>
        <r>
          <rPr>
            <sz val="8"/>
            <color indexed="81"/>
            <rFont val="Tahoma"/>
            <family val="2"/>
          </rPr>
          <t xml:space="preserve">Desc: RES SMD 22 OHM 1% 1/20W 0201
Footprint: 0201 (0603 Metric)
Power: 0.05W, 1/20W
Size: 0.024" L x 0.012" W (0.60mm x 0.30mm)
Temp_coeff: ±200ppm/°C
Tolerance: ±1%
Value: 22 Ohms </t>
        </r>
      </text>
    </comment>
    <comment ref="Q29" authorId="0">
      <text>
        <r>
          <rPr>
            <sz val="8"/>
            <color indexed="81"/>
            <rFont val="Tahoma"/>
            <family val="2"/>
          </rPr>
          <t>180139 In Stock</t>
        </r>
      </text>
    </comment>
    <comment ref="S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$0.22
   100   $0.01      $1.40
  1000   $0.01     $10.00
  2500   $0.01     $22.50
 10000   $0.01     $70.00
 15000   $0.01     $75.00</t>
        </r>
      </text>
    </comment>
    <comment ref="V29" authorId="0">
      <text>
        <r>
          <rPr>
            <sz val="8"/>
            <color indexed="81"/>
            <rFont val="Tahoma"/>
            <family val="2"/>
          </rPr>
          <t>Desc: Thick Film Resistors - SMD 0201 22ohm 1% HalogenFree AEC-Q200</t>
        </r>
      </text>
    </comment>
    <comment ref="M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$0.28      $2.79
    25   $0.26      $6.62
   100   $0.24     $23.98
   250   $0.22     $54.65
   500   $0.20    $101.60
  1000   $0.17    $173.34
  2500   $0.17    $421.30</t>
        </r>
      </text>
    </comment>
    <comment ref="P30" authorId="0">
      <text>
        <r>
          <rPr>
            <sz val="8"/>
            <color indexed="81"/>
            <rFont val="Tahoma"/>
            <family val="2"/>
          </rPr>
          <t>Desc: SWITCH TACTILE SPST-NO 0.02A 15V</t>
        </r>
      </text>
    </comment>
    <comment ref="Q30" authorId="0">
      <text>
        <r>
          <rPr>
            <sz val="8"/>
            <color indexed="81"/>
            <rFont val="Tahoma"/>
            <family val="2"/>
          </rPr>
          <t>10460 In Stock</t>
        </r>
      </text>
    </comment>
    <comment ref="S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$0.27      $2.65
   100   $0.24     $24.00
   250   $0.22     $54.75
   500   $0.20    $102.00
  1000   $0.17    $174.00
  2500   $0.17    $422.50
  5000   $0.17    $840.00
  8500   $0.17  $1,428.00</t>
        </r>
      </text>
    </comment>
    <comment ref="V30" authorId="0">
      <text>
        <r>
          <rPr>
            <sz val="8"/>
            <color indexed="81"/>
            <rFont val="Tahoma"/>
            <family val="2"/>
          </rPr>
          <t>Desc: Tactile Switches 20mA 15VDC 100gf 0.6mm SPST NO SMT</t>
        </r>
      </text>
    </comment>
    <comment ref="M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$0.29      $2.91
    25   $0.26      $6.57
   100   $0.14     $14.33
   250   $0.14     $34.64
   500   $0.12     $62.10
  1000   $0.10     $95.55</t>
        </r>
      </text>
    </comment>
    <comment ref="P31" authorId="0">
      <text>
        <r>
          <rPr>
            <sz val="8"/>
            <color indexed="81"/>
            <rFont val="Tahoma"/>
            <family val="2"/>
          </rPr>
          <t>Desc: IC REG LINEAR 1.2V 300MA 4XDFN
Footprint: 4-XDFN Exposed Pad</t>
        </r>
      </text>
    </comment>
    <comment ref="Q31" authorId="0">
      <text>
        <r>
          <rPr>
            <sz val="8"/>
            <color indexed="81"/>
            <rFont val="Tahoma"/>
            <family val="2"/>
          </rPr>
          <t>11436 In Stock</t>
        </r>
      </text>
    </comment>
    <comment ref="S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$0.24      $0.24
    10   $0.18      $1.79
   100   $0.12     $11.80
  1000   $0.09     $86.00
  5000   $0.08    $400.00
 10000   $0.07    $740.00
 25000   $0.07  $1,700.00
 50000   $0.06  $3,100.00
100000   $0.06  $6,100.00</t>
        </r>
      </text>
    </comment>
    <comment ref="V31" authorId="0">
      <text>
        <r>
          <rPr>
            <sz val="8"/>
            <color indexed="81"/>
            <rFont val="Tahoma"/>
            <family val="2"/>
          </rPr>
          <t>Desc: LDO Voltage Regulators LDO Regulator, 300 mA, Low Iq, High PSRR, High Accuracy 1.2V, XDFN, Active Discharge, Normal Vout Slew-Rate</t>
        </r>
      </text>
    </comment>
    <comment ref="M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$0.58      $0.58
    10   $0.50      $5.00
    25   $0.47     $11.67
   100   $0.35     $34.69
   250   $0.29     $73.38
   500   $0.28    $140.09
  1000   $0.21    $206.80</t>
        </r>
      </text>
    </comment>
    <comment ref="P32" authorId="0">
      <text>
        <r>
          <rPr>
            <sz val="8"/>
            <color indexed="81"/>
            <rFont val="Tahoma"/>
            <family val="2"/>
          </rPr>
          <t>Desc: IC REG LINEAR 3.3V 700MA 4XDFN
Footprint: 4-XDFN Exposed Pad</t>
        </r>
      </text>
    </comment>
    <comment ref="Q32" authorId="0">
      <text>
        <r>
          <rPr>
            <sz val="8"/>
            <color indexed="81"/>
            <rFont val="Tahoma"/>
            <family val="2"/>
          </rPr>
          <t>66705 In Stock</t>
        </r>
      </text>
    </comment>
    <comment ref="S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$0.58      $0.58
    10   $0.41      $4.12
   100   $0.29     $29.10
   500   $0.27    $137.00
  1000   $0.19    $192.00
  5000   $0.18    $895.00
 10000   $0.17  $1,710.00</t>
        </r>
      </text>
    </comment>
    <comment ref="V32" authorId="0">
      <text>
        <r>
          <rPr>
            <sz val="8"/>
            <color indexed="81"/>
            <rFont val="Tahoma"/>
            <family val="2"/>
          </rPr>
          <t>Desc: LDO Voltage Regulators LDO 700 MA ULTRA-LOW NOISE 3.3V</t>
        </r>
      </text>
    </comment>
    <comment ref="M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$0.68      $0.68
    10   $0.60      $6.00
    25   $0.56     $14.09
   100   $0.46     $46.00
   250   $0.43    $106.81
   500   $0.36    $181.80
  1000   $0.29    $290.88</t>
        </r>
      </text>
    </comment>
    <comment ref="P33" authorId="0">
      <text>
        <r>
          <rPr>
            <sz val="8"/>
            <color indexed="81"/>
            <rFont val="Tahoma"/>
            <family val="2"/>
          </rPr>
          <t>Desc: IC POWER
Footprint: SOT-583</t>
        </r>
      </text>
    </comment>
    <comment ref="Q33" authorId="0">
      <text>
        <r>
          <rPr>
            <sz val="8"/>
            <color indexed="81"/>
            <rFont val="Tahoma"/>
            <family val="2"/>
          </rPr>
          <t>1147 In Stock</t>
        </r>
      </text>
    </comment>
    <comment ref="S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$0.70      $0.70
    10   $0.60      $5.97
   100   $0.46     $45.80
   500   $0.37    $184.50
  1000   $0.29    $295.00
  2000   $0.28    $550.00
  4000   $0.24    $976.00
  8000   $0.23  $1,872.00
 24000   $0.23  $5,568.00</t>
        </r>
      </text>
    </comment>
    <comment ref="V33" authorId="0">
      <text>
        <r>
          <rPr>
            <sz val="8"/>
            <color indexed="81"/>
            <rFont val="Tahoma"/>
            <family val="2"/>
          </rPr>
          <t>Desc: Power Management Specialised - PMIC 1.6-V to 5.5-V, 40-m , 2.5-A, low-IQ, dual ideal diode 8-SOT-5X3 -40 to 125</t>
        </r>
      </text>
    </comment>
    <comment ref="M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$1.87      $1.87
    10   $1.68     $16.80
    25   $1.58     $39.62
   100   $1.35    $135.02
   250   $1.27    $316.94
   500   $1.11    $554.64
  1000   $0.92    $919.13</t>
        </r>
      </text>
    </comment>
    <comment ref="P34" authorId="0">
      <text>
        <r>
          <rPr>
            <sz val="8"/>
            <color indexed="81"/>
            <rFont val="Tahoma"/>
            <family val="2"/>
          </rPr>
          <t>Desc: IC BUS SWITCH 12 X 1:1 56TVSOP
Footprint: 56-TFSOP (0.173", 4.40mm Width)</t>
        </r>
      </text>
    </comment>
    <comment ref="Q34" authorId="0">
      <text>
        <r>
          <rPr>
            <sz val="8"/>
            <color indexed="81"/>
            <rFont val="Tahoma"/>
            <family val="2"/>
          </rPr>
          <t>1594 In Stock</t>
        </r>
      </text>
    </comment>
    <comment ref="S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$1.87      $1.87
    10   $1.68     $16.80
    25   $1.59     $39.75
   100   $1.35    $135.00
   250   $1.27    $317.50
   500   $1.11    $555.00
  1000   $0.92    $920.00
  2000   $0.92  $1,840.00</t>
        </r>
      </text>
    </comment>
    <comment ref="V34" authorId="0">
      <text>
        <r>
          <rPr>
            <sz val="8"/>
            <color indexed="81"/>
            <rFont val="Tahoma"/>
            <family val="2"/>
          </rPr>
          <t>Desc: Digital Bus Switch ICs 24-Bit FET</t>
        </r>
      </text>
    </comment>
    <comment ref="M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$5.60      $5.60
    10   $5.03     $50.29
    25   $4.75    $118.86
    80   $4.12    $329.63
   230   $3.91    $899.09
   440   $3.51  $1,543.35
   945   $3.34  $3,156.85</t>
        </r>
      </text>
    </comment>
    <comment ref="P35" authorId="0">
      <text>
        <r>
          <rPr>
            <sz val="8"/>
            <color indexed="81"/>
            <rFont val="Tahoma"/>
            <family val="2"/>
          </rPr>
          <t>Desc: IC AUDIO CODEC STEREO 20-QFN
Footprint: 20-UFQFN Exposed Pad</t>
        </r>
      </text>
    </comment>
    <comment ref="Q35" authorId="0">
      <text>
        <r>
          <rPr>
            <sz val="8"/>
            <color indexed="81"/>
            <rFont val="Tahoma"/>
            <family val="2"/>
          </rPr>
          <t>45668 In Stock</t>
        </r>
      </text>
    </comment>
    <comment ref="S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$5.59      $5.59
    10   $5.02     $50.20
    25   $4.75    $118.75
   100   $4.12    $412.00
   250   $3.90    $975.00
   490   $3.50  $1,715.00
   980   $3.34  $3,273.20
  2940   $3.21  $9,437.40</t>
        </r>
      </text>
    </comment>
    <comment ref="V35" authorId="0">
      <text>
        <r>
          <rPr>
            <sz val="8"/>
            <color indexed="81"/>
            <rFont val="Tahoma"/>
            <family val="2"/>
          </rPr>
          <t>Desc: Interface - CODECs Audio Codex</t>
        </r>
      </text>
    </comment>
    <comment ref="M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$0.43      $0.43
    10   $0.41      $4.12
    25   $0.40      $9.98
    50   $0.39     $19.29
   100   $0.37     $36.58
   250   $0.31     $76.48
   500   $0.24    $118.72
  1000   $0.23    $226.13</t>
        </r>
      </text>
    </comment>
    <comment ref="P36" authorId="0">
      <text>
        <r>
          <rPr>
            <sz val="8"/>
            <color indexed="81"/>
            <rFont val="Tahoma"/>
            <family val="2"/>
          </rPr>
          <t>Desc: FILTER RC(PI) 22 OHM/42PF SMD
Footprint: SOT-563, SOT-666
Size: 0.063" L x 0.047" W (1.60mm x 1.20mm)
Voltage: -</t>
        </r>
      </text>
    </comment>
    <comment ref="Q36" authorId="0">
      <text>
        <r>
          <rPr>
            <sz val="8"/>
            <color indexed="81"/>
            <rFont val="Tahoma"/>
            <family val="2"/>
          </rPr>
          <t>41106 In Stock</t>
        </r>
      </text>
    </comment>
    <comment ref="S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$0.43      $0.43
    10   $0.38      $3.84
   100   $0.30     $30.50
   500   $0.23    $117.00
  1000   $0.22    $220.00
  4000   $0.21    $832.00
  8000   $0.19  $1,504.00</t>
        </r>
      </text>
    </comment>
    <comment ref="V36" authorId="0">
      <text>
        <r>
          <rPr>
            <sz val="8"/>
            <color indexed="81"/>
            <rFont val="Tahoma"/>
            <family val="2"/>
          </rPr>
          <t>Desc: ESD Suppressors / TVS Diodes USB UPSTR FTR IN</t>
        </r>
      </text>
    </comment>
    <comment ref="M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$0.82      $0.82
    25   $0.69     $17.25
   100   $0.62     $62.00</t>
        </r>
      </text>
    </comment>
    <comment ref="P37" authorId="0">
      <text>
        <r>
          <rPr>
            <sz val="8"/>
            <color indexed="81"/>
            <rFont val="Tahoma"/>
            <family val="2"/>
          </rPr>
          <t>Desc: IC OPAMP GP 1 CIRCUIT SOT23-5
Footprint: SC-74A, SOT-753</t>
        </r>
      </text>
    </comment>
    <comment ref="Q37" authorId="0">
      <text>
        <r>
          <rPr>
            <sz val="8"/>
            <color indexed="81"/>
            <rFont val="Tahoma"/>
            <family val="2"/>
          </rPr>
          <t>114627 In Stock</t>
        </r>
      </text>
    </comment>
    <comment ref="S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$0.82      $0.82
    10   $0.80      $7.98
    25   $0.69     $17.18
   100   $0.62     $61.70
  3000   $0.62  $1,851.00
  9000   $0.61  $5,463.00</t>
        </r>
      </text>
    </comment>
    <comment ref="V37" authorId="0">
      <text>
        <r>
          <rPr>
            <sz val="8"/>
            <color indexed="81"/>
            <rFont val="Tahoma"/>
            <family val="2"/>
          </rPr>
          <t>Desc: Operational Amplifiers - Op Amps 16V 1.2 MHz Single Op Amp</t>
        </r>
      </text>
    </comment>
    <comment ref="Q38" authorId="0">
      <text>
        <r>
          <rPr>
            <sz val="8"/>
            <color indexed="81"/>
            <rFont val="Tahoma"/>
            <family val="2"/>
          </rPr>
          <t>19998 In Stock</t>
        </r>
      </text>
    </comment>
    <comment ref="S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$1.46      $1.46
    10   $1.34     $13.40
   100   $1.16    $116.00
   500   $1.14    $570.00
  3000   $0.97  $2,907.00</t>
        </r>
      </text>
    </comment>
    <comment ref="V38" authorId="0">
      <text>
        <r>
          <rPr>
            <sz val="8"/>
            <color indexed="81"/>
            <rFont val="Tahoma"/>
            <family val="2"/>
          </rPr>
          <t>Desc: DRAM IoT RAM 64Mb QSPI (x1,x4) SDR 133/84MHz, RBX, 3V, Ind. Temp., SOP8</t>
        </r>
      </text>
    </comment>
    <comment ref="M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$1.76      $1.76
    10   $1.61     $16.08
    25   $1.56     $39.11
    50   $1.56     $77.82
   100   $1.39    $139.13
   250   $1.39    $346.81
   500   $1.37    $683.15
  1000   $1.31  $1,308.29
  5000   $1.22  $6,090.35</t>
        </r>
      </text>
    </comment>
    <comment ref="P39" authorId="0">
      <text>
        <r>
          <rPr>
            <sz val="8"/>
            <color indexed="81"/>
            <rFont val="Tahoma"/>
            <family val="2"/>
          </rPr>
          <t>Desc: IC FLASH 128MBIT SPI/QUAD 8WSON
Footprint: 8-WDFN Exposed Pad</t>
        </r>
      </text>
    </comment>
    <comment ref="Q39" authorId="0">
      <text>
        <r>
          <rPr>
            <sz val="8"/>
            <color indexed="81"/>
            <rFont val="Tahoma"/>
            <family val="2"/>
          </rPr>
          <t>5182 In Stock</t>
        </r>
      </text>
    </comment>
    <comment ref="S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$1.76      $1.76
    10   $1.61     $16.10
   100   $1.39    $139.00
   400   $1.36    $544.00
  1200   $1.30  $1,560.00
  2800   $1.25  $3,500.00
  5200   $1.21  $6,292.00
 10000   $1.13 $11,300.00</t>
        </r>
      </text>
    </comment>
    <comment ref="V39" authorId="0">
      <text>
        <r>
          <rPr>
            <sz val="8"/>
            <color indexed="81"/>
            <rFont val="Tahoma"/>
            <family val="2"/>
          </rPr>
          <t>Desc: NOR Flash spiFlash, 3V, 128M-bit, 4Kb Uniform Sector, DTR</t>
        </r>
      </text>
    </comment>
    <comment ref="K40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M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$10.10     $10.10
    25   $8.80    $220.00
   100   $8.45    $845.00</t>
        </r>
      </text>
    </comment>
    <comment ref="P40" authorId="0">
      <text>
        <r>
          <rPr>
            <sz val="8"/>
            <color indexed="81"/>
            <rFont val="Tahoma"/>
            <family val="2"/>
          </rPr>
          <t>Desc: IC FPGA 39 I/O 48QFN
Footprint: 48-VFQFN Exposed Pad</t>
        </r>
      </text>
    </comment>
    <comment ref="Q40" authorId="0">
      <text>
        <r>
          <rPr>
            <sz val="8"/>
            <color indexed="81"/>
            <rFont val="Tahoma"/>
            <family val="2"/>
          </rPr>
          <t>12647 In Stock</t>
        </r>
      </text>
    </comment>
    <comment ref="S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$10.17     $10.17
    25   $8.85    $221.25
   100   $8.50    $850.00
  2000   $8.50 $17,000.00</t>
        </r>
      </text>
    </comment>
    <comment ref="V40" authorId="0">
      <text>
        <r>
          <rPr>
            <sz val="8"/>
            <color indexed="81"/>
            <rFont val="Tahoma"/>
            <family val="2"/>
          </rPr>
          <t>Desc: FPGA - Field Programmable Gate Array iCE40 UltraPlus, 5280 LUTs, 1.2V</t>
        </r>
      </text>
    </comment>
    <comment ref="M4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$1.64      $1.64
    10   $1.56     $15.64
    50   $1.53     $76.39
   100   $1.31    $130.95
   500   $1.27    $636.56
  1000   $1.07  $1,073.06</t>
        </r>
      </text>
    </comment>
    <comment ref="P41" authorId="0">
      <text>
        <r>
          <rPr>
            <sz val="8"/>
            <color indexed="81"/>
            <rFont val="Tahoma"/>
            <family val="2"/>
          </rPr>
          <t>Desc: XTAL OSC XO 24.0000MHZ CMOS SMD
Footprint: 4-SMD, No Lead
Frequency: 24 MHz
Size: 0.063" L x 0.047" W (1.60mm x 1.20mm)</t>
        </r>
      </text>
    </comment>
    <comment ref="Q41" authorId="0">
      <text>
        <r>
          <rPr>
            <sz val="8"/>
            <color indexed="81"/>
            <rFont val="Tahoma"/>
            <family val="2"/>
          </rPr>
          <t>4318 In Stock</t>
        </r>
      </text>
    </comment>
    <comment ref="S4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$1.64      $1.64
    10   $1.56     $15.60
    50   $1.52     $76.00
   100   $1.31    $131.00
  1000   $1.29  $1,290.00
  3000   $1.29  $3,870.00</t>
        </r>
      </text>
    </comment>
    <comment ref="V41" authorId="0">
      <text>
        <r>
          <rPr>
            <sz val="8"/>
            <color indexed="81"/>
            <rFont val="Tahoma"/>
            <family val="2"/>
          </rPr>
          <t>Desc: Standard Clock Oscillators 24.00  MHZ CMOS</t>
        </r>
      </text>
    </comment>
    <comment ref="I43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L4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R4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I44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<sst xmlns="http://schemas.openxmlformats.org/spreadsheetml/2006/main" count="385" uniqueCount="268">
  <si>
    <t>Global Part Info</t>
  </si>
  <si>
    <t>Refs</t>
  </si>
  <si>
    <t>Value</t>
  </si>
  <si>
    <t>Desc</t>
  </si>
  <si>
    <t>Notes</t>
  </si>
  <si>
    <t>Footprint</t>
  </si>
  <si>
    <t>Manf</t>
  </si>
  <si>
    <t>Manf#</t>
  </si>
  <si>
    <t>Qty</t>
  </si>
  <si>
    <t>Unit$</t>
  </si>
  <si>
    <t>Ext$</t>
  </si>
  <si>
    <t>C1-C3,C5</t>
  </si>
  <si>
    <t>1uF</t>
  </si>
  <si>
    <t>CAP CER 2.2uF 16V 10% X6S 0402</t>
  </si>
  <si>
    <t>5V DC DERATED TO 1uF</t>
  </si>
  <si>
    <t>C_0402_1005Metric</t>
  </si>
  <si>
    <t>Murata</t>
  </si>
  <si>
    <t>GRM155C81C225KE11D</t>
  </si>
  <si>
    <t>C4,C8,C23</t>
  </si>
  <si>
    <t>CAP CER 1uF 6.3V 20% X6S 0201</t>
  </si>
  <si>
    <t>1.2V DC</t>
  </si>
  <si>
    <t>C_0201_0603Metric</t>
  </si>
  <si>
    <t>GRM033C80J105ME05D</t>
  </si>
  <si>
    <t>C6,C7,C16</t>
  </si>
  <si>
    <t>CAP CER 2.2uF 10V 20% X5R 0201</t>
  </si>
  <si>
    <t>3.3V DC DERATED TO 1uF</t>
  </si>
  <si>
    <t>GRM035R61A225ME01D</t>
  </si>
  <si>
    <t>C9-C12,C17-C22,C24,C25</t>
  </si>
  <si>
    <t>0.1uF</t>
  </si>
  <si>
    <t>CAP CER 0.22uF 6.3V 20% X5R 0201</t>
  </si>
  <si>
    <t>C9,C20: 1.2V DC DERATED TO 0.1uF
C12: 1.65V DC VAG DERATED TO 0.1uF
C10,C11,C17-C19,C21,C22,C24,C25: 3.3V DC DERATED TO 0.1uF</t>
  </si>
  <si>
    <t>GRM033R60J224ME90D</t>
  </si>
  <si>
    <t>C13</t>
  </si>
  <si>
    <t>CAP CER 4.7uF 16V 20% X5R 0603</t>
  </si>
  <si>
    <t>9V/12V DC DERATED TO 1uF</t>
  </si>
  <si>
    <t>C_0603_1608Metric</t>
  </si>
  <si>
    <t>GRM188R61C475ME11D</t>
  </si>
  <si>
    <t>C14,C15</t>
  </si>
  <si>
    <t>10uF</t>
  </si>
  <si>
    <t>CAP TANT 10uF 6.3V 20% 0603</t>
  </si>
  <si>
    <t>1.65V DC 1.5V AC AUDIO</t>
  </si>
  <si>
    <t>CP_EIA-1608-08_AVX-J</t>
  </si>
  <si>
    <t>Vishay</t>
  </si>
  <si>
    <t>TMCJ0J106MTRF</t>
  </si>
  <si>
    <t>D1</t>
  </si>
  <si>
    <t>SML-LX0201UPGC-TR</t>
  </si>
  <si>
    <t>LED GREEN Vf=2.5V If=2mA 100mcd 0201</t>
  </si>
  <si>
    <t>SML-LX0201</t>
  </si>
  <si>
    <t>Lumex</t>
  </si>
  <si>
    <t>J1</t>
  </si>
  <si>
    <t>Conn_01x01</t>
  </si>
  <si>
    <t>CONN HDR SQ PIN 0.64mm 1 POS .100" GOLD MATING 6mm TAIL 3mm</t>
  </si>
  <si>
    <t>PinHeader_1x01_P2.54mm_Vertical</t>
  </si>
  <si>
    <t>XKB</t>
  </si>
  <si>
    <t>X6511WV-01H-C60D30</t>
  </si>
  <si>
    <t>J2</t>
  </si>
  <si>
    <t>Conn_01x05</t>
  </si>
  <si>
    <t>CONN HDR SQ PIN 0.64mm 5 POS .100" GOLD MATING 6mm TAIL 3mm</t>
  </si>
  <si>
    <t>PinHeader_1x05_P2.54mm_Vertical</t>
  </si>
  <si>
    <t>X6511WV-05H-C60D30</t>
  </si>
  <si>
    <t>J3</t>
  </si>
  <si>
    <t>Conn_01x14</t>
  </si>
  <si>
    <t>CONN HDR CIRCULAR PIN 0.5mm 14 POS .100" GOLD MATING 3.5mm TAIL 3mm</t>
  </si>
  <si>
    <t>PinHeader_1x14_P2.54mm_Vertical_Machined</t>
  </si>
  <si>
    <t>X5511WV-14-C35D35-1000</t>
  </si>
  <si>
    <t>J4</t>
  </si>
  <si>
    <t>Conn_01x10</t>
  </si>
  <si>
    <t>CONN HDR CIRCULAR PIN 0.5mm 10 POS .100" GOLD MATING 3.5mm TAIL 3mm</t>
  </si>
  <si>
    <t>PinHeader_1x10_P2.54mm_Vertical_Machined</t>
  </si>
  <si>
    <t>X5511WV-10-C35D35-1000</t>
  </si>
  <si>
    <t>J5</t>
  </si>
  <si>
    <t>USB4105-GF-A</t>
  </si>
  <si>
    <t>CONN USB-C</t>
  </si>
  <si>
    <t>REPLACEMENT PARTS: HRO TYPE-C-31-M-12</t>
  </si>
  <si>
    <t>USB_C_Receptacle_HRO_TYPE-C-31-M-12</t>
  </si>
  <si>
    <t>GCT</t>
  </si>
  <si>
    <t>R1</t>
  </si>
  <si>
    <t>1k</t>
  </si>
  <si>
    <t>RES 1kΩ 50mW 1% 0201</t>
  </si>
  <si>
    <t>R_0201_0603Metric</t>
  </si>
  <si>
    <t>Panasonic</t>
  </si>
  <si>
    <t>ERJ1GNF1001C</t>
  </si>
  <si>
    <t>R3</t>
  </si>
  <si>
    <t>6.2k</t>
  </si>
  <si>
    <t>RES 6.2kΩ 50mW 1% 0201</t>
  </si>
  <si>
    <t>ERJ1GNF6201C</t>
  </si>
  <si>
    <t>R4,R5,R15,R19</t>
  </si>
  <si>
    <t>2.2k</t>
  </si>
  <si>
    <t>RES 2.2kΩ 50mW 5% 0201</t>
  </si>
  <si>
    <t>ERJ1GNJ222C</t>
  </si>
  <si>
    <t>R6</t>
  </si>
  <si>
    <t>1.5k</t>
  </si>
  <si>
    <t>RES 1.5kΩ 50mW 5% 0201</t>
  </si>
  <si>
    <t>ERJ1GNJ152C</t>
  </si>
  <si>
    <t>R7</t>
  </si>
  <si>
    <t>100k</t>
  </si>
  <si>
    <t>RES 100kΩ 50mW 1% 0201</t>
  </si>
  <si>
    <t>ERJ1GNF1003C</t>
  </si>
  <si>
    <t>R8-R10</t>
  </si>
  <si>
    <t>20k</t>
  </si>
  <si>
    <t>RES 20kΩ 50mW 1% 0201</t>
  </si>
  <si>
    <t>ERJ1GNF2002C</t>
  </si>
  <si>
    <t>R11,R16-R18,R22</t>
  </si>
  <si>
    <t>10k</t>
  </si>
  <si>
    <t>RES 10kΩ 50mW 1% 0201</t>
  </si>
  <si>
    <t>ERJ1GNF1002C</t>
  </si>
  <si>
    <t>R12,R13</t>
  </si>
  <si>
    <t>5.1k</t>
  </si>
  <si>
    <t>RES 5.1kΩ 50mW 5% 0201</t>
  </si>
  <si>
    <t>ERJ1GNJ512C</t>
  </si>
  <si>
    <t>R14</t>
  </si>
  <si>
    <t>100</t>
  </si>
  <si>
    <t>RES 100Ω 50mW 5% 0201</t>
  </si>
  <si>
    <t>ERJ1GNJ101C</t>
  </si>
  <si>
    <t>R20,R21</t>
  </si>
  <si>
    <t>0</t>
  </si>
  <si>
    <t>RES 0Ω 50mW 1% 0201</t>
  </si>
  <si>
    <t>ERJ1GN0R00C</t>
  </si>
  <si>
    <t>R23</t>
  </si>
  <si>
    <t>22</t>
  </si>
  <si>
    <t>RES 22Ω 50mW 1% 0201</t>
  </si>
  <si>
    <t>ERJ1GNF22R0C</t>
  </si>
  <si>
    <t>SW1</t>
  </si>
  <si>
    <t>KXT311LHS</t>
  </si>
  <si>
    <t>SW TACT 100gf 3.0x2.0 mm</t>
  </si>
  <si>
    <t>SW_SPST_CK_KXT3</t>
  </si>
  <si>
    <t>C&amp;K</t>
  </si>
  <si>
    <t>U1,U3</t>
  </si>
  <si>
    <t>NCP115AMX120TCG</t>
  </si>
  <si>
    <t>IC REG LDO 1.2V 300mA XDFN4</t>
  </si>
  <si>
    <t>CASE_711AJ_1.0x1.0mm_P0.65mm</t>
  </si>
  <si>
    <t>onsemi</t>
  </si>
  <si>
    <t>U2</t>
  </si>
  <si>
    <t>NCP167AMX330TBG</t>
  </si>
  <si>
    <t>IC REG LDO 3.3V 700mA XDFN4</t>
  </si>
  <si>
    <t>U4</t>
  </si>
  <si>
    <t>LM66200DRLR</t>
  </si>
  <si>
    <t>IC DUAL IDEAL DIODE</t>
  </si>
  <si>
    <t>SOT-5X3</t>
  </si>
  <si>
    <t>TI</t>
  </si>
  <si>
    <t>U5</t>
  </si>
  <si>
    <t>SN74CBT16211CDGVR</t>
  </si>
  <si>
    <t>IC BUS SWITCH TVSOP-56</t>
  </si>
  <si>
    <t>REPLACEMENT PART: SN74CBT16211ADGVR</t>
  </si>
  <si>
    <t>Texas_TVSOP-56_4.4x11.3mm_P0.4mm</t>
  </si>
  <si>
    <t>SN74CBT16211ADGVR</t>
  </si>
  <si>
    <t>U6</t>
  </si>
  <si>
    <t>SGTL5000XNLA3</t>
  </si>
  <si>
    <t>IC AUDIO CODEC UQFN-20</t>
  </si>
  <si>
    <t>ALTERNATIVE PART #: SGTL5000XNLA3R2</t>
  </si>
  <si>
    <t>QFN-20-1EP_3x3mm_P0.4mm_EP1.65x1.65mm</t>
  </si>
  <si>
    <t>NXP</t>
  </si>
  <si>
    <t>U7</t>
  </si>
  <si>
    <t>NUF2042XV6</t>
  </si>
  <si>
    <t>IC USB TERMINATOR ESD PROTECTION SOT-563</t>
  </si>
  <si>
    <t>SOT-563</t>
  </si>
  <si>
    <t>NUF2042XV6T1G</t>
  </si>
  <si>
    <t>U8</t>
  </si>
  <si>
    <t>MCP6H01T-E/OT</t>
  </si>
  <si>
    <t>IC OPAMP SOT-23-5</t>
  </si>
  <si>
    <t>SOT-23-5</t>
  </si>
  <si>
    <t>Microchip</t>
  </si>
  <si>
    <t>U9</t>
  </si>
  <si>
    <t>APS6404L-3SQR</t>
  </si>
  <si>
    <t>IC PSRAM 64Mbit SOP-8</t>
  </si>
  <si>
    <t>REPLACEMENT PART: Lyontek LY68L6400SLIT</t>
  </si>
  <si>
    <t>SOP-8_3.9x4.9mm_P1.27mm</t>
  </si>
  <si>
    <t>AP</t>
  </si>
  <si>
    <t>APS6404L-3SQR-SN</t>
  </si>
  <si>
    <t>U10</t>
  </si>
  <si>
    <t>W25Q128JVPIM</t>
  </si>
  <si>
    <t>IC FLASH 128Mbit WSON-8</t>
  </si>
  <si>
    <t>ALTERNATIVE PART #: W25Q128JVPIM TR</t>
  </si>
  <si>
    <t>WSON-8-1EP_6x5mm_P1.27mm_EP3.4x4.3mm</t>
  </si>
  <si>
    <t>Winbond</t>
  </si>
  <si>
    <t>U11</t>
  </si>
  <si>
    <t>ICE40UP5K-SG48I</t>
  </si>
  <si>
    <t>IC FPGA QFN-48</t>
  </si>
  <si>
    <t>QFN-48-1EP_7x7mm_P0.5mm_EP5.6x5.6mm</t>
  </si>
  <si>
    <t>Lattice</t>
  </si>
  <si>
    <t>X1</t>
  </si>
  <si>
    <t>ASCO-24.000MHZ-EK-T3</t>
  </si>
  <si>
    <t>OSC 24 MHz 30 ppm 1.6x1.2 mm</t>
  </si>
  <si>
    <t>REPLACEMENT PARTS: ECS ECS-1612MV-240-CN-TR</t>
  </si>
  <si>
    <t>Oscillator_SMD-4Pin_1.6x1.2mm</t>
  </si>
  <si>
    <t>Abracon</t>
  </si>
  <si>
    <t>Digi-Key</t>
  </si>
  <si>
    <t>Avail</t>
  </si>
  <si>
    <t>Purch</t>
  </si>
  <si>
    <t>MOQ</t>
  </si>
  <si>
    <t>Cat#</t>
  </si>
  <si>
    <t>490-14595-1-ND</t>
  </si>
  <si>
    <t>490-13218-1-ND</t>
  </si>
  <si>
    <t>490-11973-1-ND</t>
  </si>
  <si>
    <t>490-14638-1-ND</t>
  </si>
  <si>
    <t>718-2355-1-ND</t>
  </si>
  <si>
    <t>67-2282-1-ND</t>
  </si>
  <si>
    <t>2073-USB4105-GF-ACT-ND</t>
  </si>
  <si>
    <t>P122413CT-ND</t>
  </si>
  <si>
    <t>P123105CT-ND</t>
  </si>
  <si>
    <t>P123277CT-ND</t>
  </si>
  <si>
    <t>P123246CT-ND</t>
  </si>
  <si>
    <t>P122655CT-ND</t>
  </si>
  <si>
    <t>P122813CT-ND</t>
  </si>
  <si>
    <t>P122414CT-ND</t>
  </si>
  <si>
    <t>P123340CT-ND</t>
  </si>
  <si>
    <t>P123220CT-ND</t>
  </si>
  <si>
    <t>P15979CT-ND</t>
  </si>
  <si>
    <t>P122843CT-ND</t>
  </si>
  <si>
    <t>CKN10777CT-ND</t>
  </si>
  <si>
    <t>NCP115AMX120TCGOSCT-ND</t>
  </si>
  <si>
    <t>NCP167AMX330TBGOSCT-ND</t>
  </si>
  <si>
    <t>296-LM66200DRLRCT-ND</t>
  </si>
  <si>
    <t>296-6389-1-ND</t>
  </si>
  <si>
    <t>SGTL5000XNLA3-ND</t>
  </si>
  <si>
    <t>NUF2042XV6T1GOSCT-ND</t>
  </si>
  <si>
    <t>MCP6H01T-E/OTCT-ND</t>
  </si>
  <si>
    <t>W25Q128JVPIM-ND</t>
  </si>
  <si>
    <t>220-2212-1-ND</t>
  </si>
  <si>
    <t>NonStk</t>
  </si>
  <si>
    <t>535-12073-1-ND</t>
  </si>
  <si>
    <t>Buy here</t>
  </si>
  <si>
    <t>Mouser</t>
  </si>
  <si>
    <t>81-GRM155C81C225KE1D</t>
  </si>
  <si>
    <t>81-GRM033C80J105ME5D</t>
  </si>
  <si>
    <t>81-GRM035R61A225ME1D</t>
  </si>
  <si>
    <t>81-GRM033R60J224ME9D</t>
  </si>
  <si>
    <t>81-GRM188R61C475ME1D</t>
  </si>
  <si>
    <t>74-TMCJ0J106MTRF</t>
  </si>
  <si>
    <t>696-SMLLX0201UPGCTR</t>
  </si>
  <si>
    <t>640-USB4105-GF-A</t>
  </si>
  <si>
    <t>667-ERJ-1GNF1001C</t>
  </si>
  <si>
    <t>667-ERJ-1GNF6201C</t>
  </si>
  <si>
    <t>667-ERJ-1GNJ222C</t>
  </si>
  <si>
    <t>667-ERJ-1GNJ152C</t>
  </si>
  <si>
    <t>667-ERJ-1GNF1003C</t>
  </si>
  <si>
    <t>667-ERJ-1GNF2002C</t>
  </si>
  <si>
    <t>667-ERJ-1GNF1002C</t>
  </si>
  <si>
    <t>667-ERJ-1GNJ512C</t>
  </si>
  <si>
    <t>667-ERJ-1GNJ101C</t>
  </si>
  <si>
    <t>667-ERJ-1GN0R00C</t>
  </si>
  <si>
    <t>667-ERJ-1GNF22R0C</t>
  </si>
  <si>
    <t>611-KXT311LHS</t>
  </si>
  <si>
    <t>863-NCP115AMX120TCG</t>
  </si>
  <si>
    <t>863-NCP167AMX330TBG</t>
  </si>
  <si>
    <t>595-LM66200DRLR</t>
  </si>
  <si>
    <t>595-SNCBT16211ADGVR</t>
  </si>
  <si>
    <t>841-SGTL5000XNLA3</t>
  </si>
  <si>
    <t>863-NUF2042XV6T1G</t>
  </si>
  <si>
    <t>579-MCP6H01T-E/OT</t>
  </si>
  <si>
    <t>878-APS6404L-3SQR-SN</t>
  </si>
  <si>
    <t>454-W25Q128JVPIM</t>
  </si>
  <si>
    <t>842-ICE40UP5K-SG48I</t>
  </si>
  <si>
    <t>815-ASCO-24-EK-T3</t>
  </si>
  <si>
    <t>Total Purchase:</t>
  </si>
  <si>
    <t>Purchase description:</t>
  </si>
  <si>
    <t>Prj:</t>
  </si>
  <si>
    <t>reDIP SID</t>
  </si>
  <si>
    <t>Co.:</t>
  </si>
  <si>
    <t>Nimrod</t>
  </si>
  <si>
    <t>Prj date:</t>
  </si>
  <si>
    <t>Thu 02 Nov 2023 08:37:31 PM CET</t>
  </si>
  <si>
    <t>Board Qty:</t>
  </si>
  <si>
    <t>Total Cost:</t>
  </si>
  <si>
    <t>Unit Cost:</t>
  </si>
  <si>
    <t>$ date:</t>
  </si>
  <si>
    <t>2023-11-02 20:37:40</t>
  </si>
  <si>
    <t>KiCost® v1.1.18</t>
  </si>
</sst>
</file>

<file path=xl/styles.xml><?xml version="1.0" encoding="utf-8"?>
<styleSheet xmlns="http://schemas.openxmlformats.org/spreadsheetml/2006/main">
  <numFmts count="2">
    <numFmt numFmtId="164" formatCode="$#,##0.00"/>
    <numFmt numFmtId="165" formatCode="$#,##0.0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0" applyFont="1" applyAlignment="1">
      <alignment horizontal="right" vertical="center"/>
    </xf>
    <xf numFmtId="0" fontId="9" fillId="0" borderId="0" xfId="1" applyAlignment="1" applyProtection="1"/>
    <xf numFmtId="0" fontId="0" fillId="0" borderId="0" xfId="0" applyAlignment="1">
      <alignment horizontal="right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5"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FFFF00"/>
        </patternFill>
      </fill>
    </dxf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urata.com/products/productdetail.aspx?partno=GRM155C81C225KE11D" TargetMode="External"/><Relationship Id="rId2" Type="http://schemas.openxmlformats.org/officeDocument/2006/relationships/hyperlink" Target="https://www.digikey.com/en/products/detail/murata-electronics/GRM155C81C225KE11D/4905093" TargetMode="External"/><Relationship Id="rId3" Type="http://schemas.openxmlformats.org/officeDocument/2006/relationships/hyperlink" Target="https://no.mouser.com/ProductDetail/Murata-Electronics/GRM155C81C225KE11D?qs=eeBpzGFlv%252B8b6nuSU%252BIq%2FQ%3D%3D" TargetMode="External"/><Relationship Id="rId4" Type="http://schemas.openxmlformats.org/officeDocument/2006/relationships/hyperlink" Target="https://www.murata.com/products/productdetail.aspx?partno=GRM033C80J105ME05D" TargetMode="External"/><Relationship Id="rId5" Type="http://schemas.openxmlformats.org/officeDocument/2006/relationships/hyperlink" Target="https://www.digikey.com/en/products/detail/murata-electronics/GRM033C80J105ME05D/5877381" TargetMode="External"/><Relationship Id="rId6" Type="http://schemas.openxmlformats.org/officeDocument/2006/relationships/hyperlink" Target="https://no.mouser.com/ProductDetail/Murata-Electronics/GRM033C80J105ME05D?qs=P8zzrVhehaso8Xg5mhsu3Q%3D%3D" TargetMode="External"/><Relationship Id="rId7" Type="http://schemas.openxmlformats.org/officeDocument/2006/relationships/hyperlink" Target="https://www.murata.com/products/productdetail.aspx?partno=GRM035R61A225ME01D" TargetMode="External"/><Relationship Id="rId8" Type="http://schemas.openxmlformats.org/officeDocument/2006/relationships/hyperlink" Target="https://no.mouser.com/ProductDetail/Murata-Electronics/GRM035R61A225ME01D?qs=pUKx8fyJudAGsIsikE8KgA%3D%3D" TargetMode="External"/><Relationship Id="rId9" Type="http://schemas.openxmlformats.org/officeDocument/2006/relationships/hyperlink" Target="https://www.murata.com/products/productdetail.aspx?partno=GRM033R60J224ME90D" TargetMode="External"/><Relationship Id="rId10" Type="http://schemas.openxmlformats.org/officeDocument/2006/relationships/hyperlink" Target="https://www.digikey.com/en/products/detail/murata-electronics/GRM033R60J224ME90D/4904674" TargetMode="External"/><Relationship Id="rId11" Type="http://schemas.openxmlformats.org/officeDocument/2006/relationships/hyperlink" Target="https://no.mouser.com/ProductDetail/Murata-Electronics/GRM033R60J224ME90D?qs=2W5sgKM%2F3704nCcQ8ai7mA%3D%3D" TargetMode="External"/><Relationship Id="rId12" Type="http://schemas.openxmlformats.org/officeDocument/2006/relationships/hyperlink" Target="https://www.murata.com/products/productdetail.aspx?partno=GRM188R61C475ME11D" TargetMode="External"/><Relationship Id="rId13" Type="http://schemas.openxmlformats.org/officeDocument/2006/relationships/hyperlink" Target="https://www.digikey.com/en/products/detail/murata-electronics/GRM188R61C475ME11D/4905343" TargetMode="External"/><Relationship Id="rId14" Type="http://schemas.openxmlformats.org/officeDocument/2006/relationships/hyperlink" Target="https://no.mouser.com/ProductDetail/Murata-Electronics/GRM188R61C475ME11D?qs=eeBpzGFlv%252B%2F14Zy0WER4vA%3D%3D" TargetMode="External"/><Relationship Id="rId15" Type="http://schemas.openxmlformats.org/officeDocument/2006/relationships/hyperlink" Target="https://www.vishay.com/docs/40176/tmcj.pdf" TargetMode="External"/><Relationship Id="rId16" Type="http://schemas.openxmlformats.org/officeDocument/2006/relationships/hyperlink" Target="https://www.digikey.com/en/products/detail/vishay-sprague/TMCJ0J106MTRF/10107287" TargetMode="External"/><Relationship Id="rId17" Type="http://schemas.openxmlformats.org/officeDocument/2006/relationships/hyperlink" Target="https://no.mouser.com/ProductDetail/Vishay-Sprague/TMCJ0J106MTRF?qs=WatphXlIDnwX%2FmRnq8idiA%3D%3D" TargetMode="External"/><Relationship Id="rId18" Type="http://schemas.openxmlformats.org/officeDocument/2006/relationships/hyperlink" Target="https://www.lumex.com/datasheet/SML-LX0201UPGC-TR.html" TargetMode="External"/><Relationship Id="rId19" Type="http://schemas.openxmlformats.org/officeDocument/2006/relationships/hyperlink" Target="https://www.digikey.com/en/products/detail/lumex-opto-components-inc/SML-LX0201UPGC-TR/7430416" TargetMode="External"/><Relationship Id="rId20" Type="http://schemas.openxmlformats.org/officeDocument/2006/relationships/hyperlink" Target="https://no.mouser.com/ProductDetail/Lumex/SML-LX0201UPGC-TR?qs=EU6FO9ffTwehGqVaOLwCAA%3D%3D" TargetMode="External"/><Relationship Id="rId21" Type="http://schemas.openxmlformats.org/officeDocument/2006/relationships/hyperlink" Target="https://www.helloxkb.com/Home/Goods/goodsInfo/id/99582.html" TargetMode="External"/><Relationship Id="rId22" Type="http://schemas.openxmlformats.org/officeDocument/2006/relationships/hyperlink" Target="https://www.helloxkb.com/Home/Goods/goodsInfo/id/99586.html" TargetMode="External"/><Relationship Id="rId23" Type="http://schemas.openxmlformats.org/officeDocument/2006/relationships/hyperlink" Target="https://www.helloxkb.com/Home/Goods/goodsInfo/id/72364.html" TargetMode="External"/><Relationship Id="rId24" Type="http://schemas.openxmlformats.org/officeDocument/2006/relationships/hyperlink" Target="https://www.helloxkb.com/Home/Goods/goodsInfo/id/72360.html" TargetMode="External"/><Relationship Id="rId25" Type="http://schemas.openxmlformats.org/officeDocument/2006/relationships/hyperlink" Target="https://gct.co/files/drawings/usb4105.pdf?v=7f82f35c-3647-4bcd-a100-0fb9f1f8c8e2" TargetMode="External"/><Relationship Id="rId26" Type="http://schemas.openxmlformats.org/officeDocument/2006/relationships/hyperlink" Target="https://www.digikey.com/en/products/detail/gct/USB4105-GF-A/11198441" TargetMode="External"/><Relationship Id="rId27" Type="http://schemas.openxmlformats.org/officeDocument/2006/relationships/hyperlink" Target="https://no.mouser.com/ProductDetail/GCT/USB4105-GF-A?qs=KUoIvG%2F9IlY%2FMLlBMpStpA%3D%3D" TargetMode="External"/><Relationship Id="rId28" Type="http://schemas.openxmlformats.org/officeDocument/2006/relationships/hyperlink" Target="https://industrial.panasonic.com/ww/products/pt/general-purpose-chip-resistors/models/ERJ1GNF1001C" TargetMode="External"/><Relationship Id="rId29" Type="http://schemas.openxmlformats.org/officeDocument/2006/relationships/hyperlink" Target="https://www.digikey.com/en/products/detail/panasonic-electronic-components/ERJ-1GNF1001C/2036112" TargetMode="External"/><Relationship Id="rId30" Type="http://schemas.openxmlformats.org/officeDocument/2006/relationships/hyperlink" Target="https://no.mouser.com/ProductDetail/Panasonic/ERJ-1GNF1001C?qs=nuXzIS8loXFEaL2ux1uJzQ%3D%3D" TargetMode="External"/><Relationship Id="rId31" Type="http://schemas.openxmlformats.org/officeDocument/2006/relationships/hyperlink" Target="https://industrial.panasonic.com/ww/products/pt/general-purpose-chip-resistors/models/ERJ1GNF6201C" TargetMode="External"/><Relationship Id="rId32" Type="http://schemas.openxmlformats.org/officeDocument/2006/relationships/hyperlink" Target="https://www.digikey.com/en/products/detail/panasonic-electronic-components/ERJ-1GNF6201C/2036203" TargetMode="External"/><Relationship Id="rId33" Type="http://schemas.openxmlformats.org/officeDocument/2006/relationships/hyperlink" Target="https://no.mouser.com/ProductDetail/Panasonic/ERJ-1GNF6201C?qs=nuXzIS8loXFvoqcBbLwN7g%3D%3D" TargetMode="External"/><Relationship Id="rId34" Type="http://schemas.openxmlformats.org/officeDocument/2006/relationships/hyperlink" Target="https://industrial.panasonic.com/ww/products/pt/general-purpose-chip-resistors/models/ERJ1GNJ222C" TargetMode="External"/><Relationship Id="rId35" Type="http://schemas.openxmlformats.org/officeDocument/2006/relationships/hyperlink" Target="https://www.digikey.com/en/products/detail/panasonic-electronic-components/ERJ-1GNJ222C/2035795" TargetMode="External"/><Relationship Id="rId36" Type="http://schemas.openxmlformats.org/officeDocument/2006/relationships/hyperlink" Target="https://no.mouser.com/ProductDetail/Panasonic/ERJ-1GNJ222C?qs=wTZ%2FFzl837bSaI4SM06fJg%3D%3D" TargetMode="External"/><Relationship Id="rId37" Type="http://schemas.openxmlformats.org/officeDocument/2006/relationships/hyperlink" Target="https://industrial.panasonic.com/ww/products/pt/general-purpose-chip-resistors/models/ERJ1GNJ152C" TargetMode="External"/><Relationship Id="rId38" Type="http://schemas.openxmlformats.org/officeDocument/2006/relationships/hyperlink" Target="https://www.digikey.com/en/products/detail/panasonic-electronic-components/ERJ-1GNJ152C/2035791" TargetMode="External"/><Relationship Id="rId39" Type="http://schemas.openxmlformats.org/officeDocument/2006/relationships/hyperlink" Target="https://no.mouser.com/ProductDetail/Panasonic/ERJ-1GNJ152C?qs=nuXzIS8loXEN14at7OEUHw%3D%3D" TargetMode="External"/><Relationship Id="rId40" Type="http://schemas.openxmlformats.org/officeDocument/2006/relationships/hyperlink" Target="https://industrial.panasonic.com/ww/products/pt/general-purpose-chip-resistors/models/ERJ1GNF1003C" TargetMode="External"/><Relationship Id="rId41" Type="http://schemas.openxmlformats.org/officeDocument/2006/relationships/hyperlink" Target="https://www.digikey.com/en/products/detail/panasonic-electronic-components/ERJ-1GNF1003C/2036340" TargetMode="External"/><Relationship Id="rId42" Type="http://schemas.openxmlformats.org/officeDocument/2006/relationships/hyperlink" Target="https://no.mouser.com/ProductDetail/Panasonic/ERJ-1GNF1003C?qs=nuXzIS8loXFCVaxpzTie8Q%3D%3D" TargetMode="External"/><Relationship Id="rId43" Type="http://schemas.openxmlformats.org/officeDocument/2006/relationships/hyperlink" Target="https://industrial.panasonic.com/ww/products/pt/general-purpose-chip-resistors/models/ERJ1GNF2002C" TargetMode="External"/><Relationship Id="rId44" Type="http://schemas.openxmlformats.org/officeDocument/2006/relationships/hyperlink" Target="https://www.digikey.com/en/products/detail/panasonic-electronic-components/ERJ-1GNF2002C/2036258" TargetMode="External"/><Relationship Id="rId45" Type="http://schemas.openxmlformats.org/officeDocument/2006/relationships/hyperlink" Target="https://no.mouser.com/ProductDetail/Panasonic/ERJ-1GNF2002C?qs=nuXzIS8loXGlEdsCEHpvVg%3D%3D" TargetMode="External"/><Relationship Id="rId46" Type="http://schemas.openxmlformats.org/officeDocument/2006/relationships/hyperlink" Target="https://industrial.panasonic.com/ww/products/pt/general-purpose-chip-resistors/models/ERJ1GNF1002C" TargetMode="External"/><Relationship Id="rId47" Type="http://schemas.openxmlformats.org/officeDocument/2006/relationships/hyperlink" Target="https://www.digikey.com/en/products/detail/panasonic-electronic-components/ERJ-1GNF1002C/2036226" TargetMode="External"/><Relationship Id="rId48" Type="http://schemas.openxmlformats.org/officeDocument/2006/relationships/hyperlink" Target="https://no.mouser.com/ProductDetail/Panasonic/ERJ-1GNF1002C?qs=nuXzIS8loXE96jG2vMMQNw%3D%3D" TargetMode="External"/><Relationship Id="rId49" Type="http://schemas.openxmlformats.org/officeDocument/2006/relationships/hyperlink" Target="https://industrial.panasonic.com/ww/products/pt/general-purpose-chip-resistors/models/ERJ1GNJ512C" TargetMode="External"/><Relationship Id="rId50" Type="http://schemas.openxmlformats.org/officeDocument/2006/relationships/hyperlink" Target="https://www.digikey.com/en/products/detail/panasonic-electronic-components/ERJ-1GNJ512C/2035804" TargetMode="External"/><Relationship Id="rId51" Type="http://schemas.openxmlformats.org/officeDocument/2006/relationships/hyperlink" Target="https://no.mouser.com/ProductDetail/Panasonic/ERJ-1GNJ512C?qs=wTZ%2FFzl837alr2HcCwgorQ%3D%3D" TargetMode="External"/><Relationship Id="rId52" Type="http://schemas.openxmlformats.org/officeDocument/2006/relationships/hyperlink" Target="https://industrial.panasonic.com/ww/products/pt/general-purpose-chip-resistors/models/ERJ1GNJ101C" TargetMode="External"/><Relationship Id="rId53" Type="http://schemas.openxmlformats.org/officeDocument/2006/relationships/hyperlink" Target="https://www.digikey.com/en/products/detail/panasonic-electronic-components/ERJ-1GNJ101C/2035763" TargetMode="External"/><Relationship Id="rId54" Type="http://schemas.openxmlformats.org/officeDocument/2006/relationships/hyperlink" Target="https://no.mouser.com/ProductDetail/Panasonic/ERJ-1GNJ101C?qs=nuXzIS8loXGN5So4aOOV1Q%3D%3D" TargetMode="External"/><Relationship Id="rId55" Type="http://schemas.openxmlformats.org/officeDocument/2006/relationships/hyperlink" Target="https://industrial.panasonic.com/ww/products/pt/general-purpose-chip-resistors/models/ERJ1GN0R00C" TargetMode="External"/><Relationship Id="rId56" Type="http://schemas.openxmlformats.org/officeDocument/2006/relationships/hyperlink" Target="https://www.digikey.com/en/products/detail/panasonic-electronic-components/ERJ-1GN0R00C/3982613" TargetMode="External"/><Relationship Id="rId57" Type="http://schemas.openxmlformats.org/officeDocument/2006/relationships/hyperlink" Target="https://no.mouser.com/ProductDetail/Panasonic/ERJ-1GN0R00C?qs=7CTG1529Hzj3BLXuZjatmA%3D%3D" TargetMode="External"/><Relationship Id="rId58" Type="http://schemas.openxmlformats.org/officeDocument/2006/relationships/hyperlink" Target="https://industrial.panasonic.com/ww/products/pt/general-purpose-chip-resistors/models/ERJ1GNF22R0C" TargetMode="External"/><Relationship Id="rId59" Type="http://schemas.openxmlformats.org/officeDocument/2006/relationships/hyperlink" Target="https://www.digikey.com/en/products/detail/panasonic-electronic-components/ERJ-1GNF22R0C/2035920" TargetMode="External"/><Relationship Id="rId60" Type="http://schemas.openxmlformats.org/officeDocument/2006/relationships/hyperlink" Target="https://no.mouser.com/ProductDetail/Panasonic/ERJ-1GNF22R0C?qs=nuXzIS8loXH5CLca8fBHhg%3D%3D" TargetMode="External"/><Relationship Id="rId61" Type="http://schemas.openxmlformats.org/officeDocument/2006/relationships/hyperlink" Target="https://www.ckswitches.com/media/1465/kxt3.pdf" TargetMode="External"/><Relationship Id="rId62" Type="http://schemas.openxmlformats.org/officeDocument/2006/relationships/hyperlink" Target="https://www.digikey.com/en/products/detail/c-k/KXT-311-LHS/6599752" TargetMode="External"/><Relationship Id="rId63" Type="http://schemas.openxmlformats.org/officeDocument/2006/relationships/hyperlink" Target="https://no.mouser.com/ProductDetail/CK/KXT311LHS?qs=%2FQ2qp2Z%2FWFxZqSWVDr5IpA%3D%3D" TargetMode="External"/><Relationship Id="rId64" Type="http://schemas.openxmlformats.org/officeDocument/2006/relationships/hyperlink" Target="https://www.onsemi.com/pdf/datasheet/ncp115-d.pdf" TargetMode="External"/><Relationship Id="rId65" Type="http://schemas.openxmlformats.org/officeDocument/2006/relationships/hyperlink" Target="https://www.digikey.com/en/products/detail/onsemi/NCP115AMX120TCG/9829201" TargetMode="External"/><Relationship Id="rId66" Type="http://schemas.openxmlformats.org/officeDocument/2006/relationships/hyperlink" Target="https://no.mouser.com/ProductDetail/onsemi/NCP115AMX120TCG?qs=l7cgNqFNU1iSEavmMXBgHw%3D%3D" TargetMode="External"/><Relationship Id="rId67" Type="http://schemas.openxmlformats.org/officeDocument/2006/relationships/hyperlink" Target="https://www.onsemi.com/pdf/datasheet/ncp167-d.pdf" TargetMode="External"/><Relationship Id="rId68" Type="http://schemas.openxmlformats.org/officeDocument/2006/relationships/hyperlink" Target="https://www.digikey.com/en/products/detail/onsemi/NCP167AMX330TBG/9169759" TargetMode="External"/><Relationship Id="rId69" Type="http://schemas.openxmlformats.org/officeDocument/2006/relationships/hyperlink" Target="https://no.mouser.com/ProductDetail/onsemi/NCP167AMX330TBG?qs=MLItCLRbWswBL%252BIllRiU9w%3D%3D" TargetMode="External"/><Relationship Id="rId70" Type="http://schemas.openxmlformats.org/officeDocument/2006/relationships/hyperlink" Target="https://www.ti.com/lit/ds/symlink/lm66200.pdf" TargetMode="External"/><Relationship Id="rId71" Type="http://schemas.openxmlformats.org/officeDocument/2006/relationships/hyperlink" Target="https://www.digikey.com/en/products/detail/texas-instruments/LM66200DRLR/15856663" TargetMode="External"/><Relationship Id="rId72" Type="http://schemas.openxmlformats.org/officeDocument/2006/relationships/hyperlink" Target="https://no.mouser.com/ProductDetail/Texas-Instruments/LM66200DRLR?qs=Rp5uXu7WBW90hnpZAkIOdQ%3D%3D" TargetMode="External"/><Relationship Id="rId73" Type="http://schemas.openxmlformats.org/officeDocument/2006/relationships/hyperlink" Target="https://www.ti.com/lit/ds/symlink/sn74cbt16211c.pdf" TargetMode="External"/><Relationship Id="rId74" Type="http://schemas.openxmlformats.org/officeDocument/2006/relationships/hyperlink" Target="https://www.digikey.com/en/products/detail/texas-instruments/SN74CBT16211ADGVR/377843" TargetMode="External"/><Relationship Id="rId75" Type="http://schemas.openxmlformats.org/officeDocument/2006/relationships/hyperlink" Target="https://no.mouser.com/ProductDetail/Texas-Instruments/SN74CBT16211ADGVR?qs=6gY4t2uohMy2xZG8X83aAA%3D%3D" TargetMode="External"/><Relationship Id="rId76" Type="http://schemas.openxmlformats.org/officeDocument/2006/relationships/hyperlink" Target="https://www.nxp.com/docs/en/data-sheet/SGTL5000.pdf" TargetMode="External"/><Relationship Id="rId77" Type="http://schemas.openxmlformats.org/officeDocument/2006/relationships/hyperlink" Target="https://www.digikey.com/en/products/detail/nxp-usa-inc/SGTL5000XNLA3/2186899" TargetMode="External"/><Relationship Id="rId78" Type="http://schemas.openxmlformats.org/officeDocument/2006/relationships/hyperlink" Target="https://no.mouser.com/ProductDetail/NXP-Semiconductors/SGTL5000XNLA3?qs=g5o6z0NmdpSQCyEqtPbKVg%3D%3D" TargetMode="External"/><Relationship Id="rId79" Type="http://schemas.openxmlformats.org/officeDocument/2006/relationships/hyperlink" Target="https://www.onsemi.com/pdf/datasheet/nuf2030xv6-d.pdf" TargetMode="External"/><Relationship Id="rId80" Type="http://schemas.openxmlformats.org/officeDocument/2006/relationships/hyperlink" Target="https://www.digikey.com/en/products/detail/onsemi/NUF2042XV6T1G/1484972" TargetMode="External"/><Relationship Id="rId81" Type="http://schemas.openxmlformats.org/officeDocument/2006/relationships/hyperlink" Target="https://no.mouser.com/ProductDetail/onsemi/NUF2042XV6T1G?qs=ZXBb0xZ9WeAV3XcAwewBSw%3D%3D" TargetMode="External"/><Relationship Id="rId82" Type="http://schemas.openxmlformats.org/officeDocument/2006/relationships/hyperlink" Target="https://www.microchip.com/en-us/product/MCP6H01" TargetMode="External"/><Relationship Id="rId83" Type="http://schemas.openxmlformats.org/officeDocument/2006/relationships/hyperlink" Target="https://www.digikey.com/en/products/detail/microchip-technology/MCP6H01T-E-OT/3046664" TargetMode="External"/><Relationship Id="rId84" Type="http://schemas.openxmlformats.org/officeDocument/2006/relationships/hyperlink" Target="https://no.mouser.com/ProductDetail/Microchip-Technology/MCP6H01T-E-OT?qs=fgHA1UgJI8BCRjn9O%2FfGrw%3D%3D" TargetMode="External"/><Relationship Id="rId85" Type="http://schemas.openxmlformats.org/officeDocument/2006/relationships/hyperlink" Target="https://www.apmemory.com/wp-content/uploads/APM_PSRAM_E3_QSPI-APS6404L-3SQR-v2.4-KGD_PKG.pdf" TargetMode="External"/><Relationship Id="rId86" Type="http://schemas.openxmlformats.org/officeDocument/2006/relationships/hyperlink" Target="https://no.mouser.com/ProductDetail/AP-Memory/APS6404L-3SQR-SN?qs=IS%252B4QmGtzzqsn3S5xo%2FEEg%3D%3D" TargetMode="External"/><Relationship Id="rId87" Type="http://schemas.openxmlformats.org/officeDocument/2006/relationships/hyperlink" Target="https://www.winbond.com/resource-files/W25Q128JV%20RevI%2008232021%20Plus.pdf" TargetMode="External"/><Relationship Id="rId88" Type="http://schemas.openxmlformats.org/officeDocument/2006/relationships/hyperlink" Target="https://www.digikey.com/en/products/detail/winbond-electronics/W25Q128JVPIM/6819719" TargetMode="External"/><Relationship Id="rId89" Type="http://schemas.openxmlformats.org/officeDocument/2006/relationships/hyperlink" Target="https://no.mouser.com/ProductDetail/Winbond/W25Q128JVPIM?qs=qSfuJ%252Bfl%2Fd62hi5N%252Bd7%252B%252BA%3D%3D" TargetMode="External"/><Relationship Id="rId90" Type="http://schemas.openxmlformats.org/officeDocument/2006/relationships/hyperlink" Target="http://www.latticesemi.com/Products/FPGAandCPLD/iCE40UltraPlus" TargetMode="External"/><Relationship Id="rId91" Type="http://schemas.openxmlformats.org/officeDocument/2006/relationships/hyperlink" Target="https://www.digikey.com/en/products/detail/lattice-semiconductor-corporation/ICE40UP5K-SG48I/7785190" TargetMode="External"/><Relationship Id="rId92" Type="http://schemas.openxmlformats.org/officeDocument/2006/relationships/hyperlink" Target="https://no.mouser.com/ProductDetail/Lattice/ICE40UP5K-SG48I?qs=Rp3RbKSfAt3UqOG1AN4%2FAg%3D%3D" TargetMode="External"/><Relationship Id="rId93" Type="http://schemas.openxmlformats.org/officeDocument/2006/relationships/hyperlink" Target="https://abracon.com/Oscillators/ASCO.pdf" TargetMode="External"/><Relationship Id="rId94" Type="http://schemas.openxmlformats.org/officeDocument/2006/relationships/hyperlink" Target="https://www.digikey.com/en/products/detail/abracon-llc/ASCO-24-000MHZ-EK-T3/4092550" TargetMode="External"/><Relationship Id="rId95" Type="http://schemas.openxmlformats.org/officeDocument/2006/relationships/hyperlink" Target="https://no.mouser.com/ProductDetail/ABRACON/ASCO-24.000MHZ-EK-T3?qs=DffVzuaNd2xIZg%252BriyLDUQ%3D%3D" TargetMode="External"/><Relationship Id="rId96" Type="http://schemas.openxmlformats.org/officeDocument/2006/relationships/hyperlink" Target="https://www.digikey.com/ordering/shoppingcart" TargetMode="External"/><Relationship Id="rId97" Type="http://schemas.openxmlformats.org/officeDocument/2006/relationships/hyperlink" Target="https://mouser.com/bom/" TargetMode="External"/><Relationship Id="rId98" Type="http://schemas.openxmlformats.org/officeDocument/2006/relationships/vmlDrawing" Target="../drawings/vmlDrawing1.vml"/><Relationship Id="rId9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4"/>
  <sheetViews>
    <sheetView tabSelected="1" workbookViewId="0">
      <pane xSplit="10" ySplit="6" topLeftCell="K7" activePane="bottomRight" state="frozen"/>
      <selection pane="topRight" activeCell="K1" sqref="K1"/>
      <selection pane="bottomLeft" activeCell="A7" sqref="A7"/>
      <selection pane="bottomRight"/>
    </sheetView>
  </sheetViews>
  <sheetFormatPr defaultRowHeight="15" outlineLevelCol="3"/>
  <cols>
    <col min="1" max="1" width="23.7109375" customWidth="1"/>
    <col min="2" max="2" width="21.7109375" customWidth="1"/>
    <col min="3" max="3" width="33.7109375" customWidth="1" outlineLevel="2"/>
    <col min="4" max="4" width="33.7109375" customWidth="1"/>
    <col min="5" max="5" width="33.7109375" customWidth="1" outlineLevel="2"/>
    <col min="6" max="6" width="10.7109375" customWidth="1" outlineLevel="1"/>
    <col min="7" max="7" width="23.7109375" customWidth="1" outlineLevel="1"/>
    <col min="8" max="8" width="9.140625" outlineLevel="1"/>
    <col min="9" max="9" width="22.7109375" customWidth="1"/>
    <col min="10" max="10" width="16.7109375" customWidth="1"/>
    <col min="11" max="11" width="9.7109375" customWidth="1" outlineLevel="1"/>
    <col min="12" max="12" width="9.140625" outlineLevel="2"/>
    <col min="13" max="13" width="10.7109375" customWidth="1" outlineLevel="2"/>
    <col min="14" max="14" width="0" hidden="1" customWidth="1" outlineLevel="3" collapsed="1"/>
    <col min="15" max="15" width="16.7109375" customWidth="1"/>
    <col min="16" max="16" width="23.7109375" customWidth="1" outlineLevel="2"/>
    <col min="17" max="17" width="9.7109375" customWidth="1" outlineLevel="1"/>
    <col min="18" max="18" width="9.140625" outlineLevel="2"/>
    <col min="19" max="19" width="10.7109375" customWidth="1" outlineLevel="2"/>
    <col min="20" max="20" width="0" hidden="1" customWidth="1" outlineLevel="3" collapsed="1"/>
    <col min="21" max="21" width="16.7109375" customWidth="1"/>
    <col min="22" max="22" width="21.7109375" customWidth="1" outlineLevel="2"/>
  </cols>
  <sheetData>
    <row r="1" spans="1:22">
      <c r="A1" s="1" t="s">
        <v>256</v>
      </c>
      <c r="B1" s="2" t="s">
        <v>257</v>
      </c>
      <c r="I1" s="3" t="s">
        <v>262</v>
      </c>
      <c r="J1" s="3">
        <v>100</v>
      </c>
    </row>
    <row r="2" spans="1:22">
      <c r="A2" s="1" t="s">
        <v>258</v>
      </c>
      <c r="B2" s="2" t="s">
        <v>259</v>
      </c>
      <c r="I2" s="1" t="s">
        <v>264</v>
      </c>
      <c r="J2" s="4">
        <f>TotalCost/BoardQty</f>
        <v>21.8175</v>
      </c>
    </row>
    <row r="3" spans="1:22">
      <c r="A3" s="1" t="s">
        <v>260</v>
      </c>
      <c r="B3" s="2" t="s">
        <v>261</v>
      </c>
      <c r="I3" s="1" t="s">
        <v>263</v>
      </c>
      <c r="J3" s="5">
        <f>SUM(J7:J41)</f>
        <v>2181.75</v>
      </c>
      <c r="O3" s="5">
        <f>SUM(O7:O41)</f>
        <v>2104.088</v>
      </c>
      <c r="P3" s="6" t="str">
        <f>(COUNTA(O7:O41)&amp;" of "&amp;ROWS(O7:O41)&amp;" parts found")</f>
        <v>29 of 35 parts found</v>
      </c>
      <c r="U3" s="5">
        <f>SUM(U7:U41)</f>
        <v>2189.4</v>
      </c>
      <c r="V3" s="6" t="str">
        <f>(COUNTA(U7:U41)&amp;" of "&amp;ROWS(U7:U41)&amp;" parts found")</f>
        <v>31 of 35 parts found</v>
      </c>
    </row>
    <row r="4" spans="1:22">
      <c r="A4" s="1" t="s">
        <v>265</v>
      </c>
      <c r="B4" s="2" t="s">
        <v>266</v>
      </c>
    </row>
    <row r="5" spans="1:22">
      <c r="A5" s="7" t="s">
        <v>0</v>
      </c>
      <c r="B5" s="7"/>
      <c r="C5" s="7"/>
      <c r="D5" s="7"/>
      <c r="E5" s="7"/>
      <c r="F5" s="7"/>
      <c r="G5" s="7"/>
      <c r="H5" s="7"/>
      <c r="I5" s="7"/>
      <c r="J5" s="7"/>
      <c r="K5" s="8" t="s">
        <v>186</v>
      </c>
      <c r="L5" s="8"/>
      <c r="M5" s="8"/>
      <c r="N5" s="8"/>
      <c r="O5" s="8"/>
      <c r="P5" s="8"/>
      <c r="Q5" s="9" t="s">
        <v>222</v>
      </c>
      <c r="R5" s="9"/>
      <c r="S5" s="9"/>
      <c r="T5" s="9"/>
      <c r="U5" s="9"/>
      <c r="V5" s="9"/>
    </row>
    <row r="6" spans="1:22">
      <c r="A6" s="10" t="s">
        <v>1</v>
      </c>
      <c r="B6" s="10" t="s">
        <v>2</v>
      </c>
      <c r="C6" s="10" t="s">
        <v>3</v>
      </c>
      <c r="D6" s="10" t="s">
        <v>4</v>
      </c>
      <c r="E6" s="10" t="s">
        <v>5</v>
      </c>
      <c r="F6" s="10" t="s">
        <v>6</v>
      </c>
      <c r="G6" s="10" t="s">
        <v>7</v>
      </c>
      <c r="H6" s="10" t="s">
        <v>8</v>
      </c>
      <c r="I6" s="10" t="s">
        <v>9</v>
      </c>
      <c r="J6" s="10" t="s">
        <v>10</v>
      </c>
      <c r="K6" s="10" t="s">
        <v>187</v>
      </c>
      <c r="L6" s="10" t="s">
        <v>188</v>
      </c>
      <c r="M6" s="10" t="s">
        <v>9</v>
      </c>
      <c r="N6" s="10" t="s">
        <v>189</v>
      </c>
      <c r="O6" s="10" t="s">
        <v>10</v>
      </c>
      <c r="P6" s="10" t="s">
        <v>190</v>
      </c>
      <c r="Q6" s="10" t="s">
        <v>187</v>
      </c>
      <c r="R6" s="10" t="s">
        <v>188</v>
      </c>
      <c r="S6" s="10" t="s">
        <v>9</v>
      </c>
      <c r="T6" s="10" t="s">
        <v>189</v>
      </c>
      <c r="U6" s="10" t="s">
        <v>10</v>
      </c>
      <c r="V6" s="10" t="s">
        <v>190</v>
      </c>
    </row>
    <row r="7" spans="1:22">
      <c r="A7" s="11" t="s">
        <v>11</v>
      </c>
      <c r="B7" s="11" t="s">
        <v>12</v>
      </c>
      <c r="C7" s="11" t="s">
        <v>13</v>
      </c>
      <c r="D7" s="11" t="s">
        <v>14</v>
      </c>
      <c r="E7" s="11" t="s">
        <v>15</v>
      </c>
      <c r="F7" s="11" t="s">
        <v>16</v>
      </c>
      <c r="G7" s="11" t="s">
        <v>17</v>
      </c>
      <c r="H7" s="11">
        <f>CEILING(BoardQty*4.0,1)</f>
        <v>400</v>
      </c>
      <c r="I7" s="12">
        <f>IF(MIN(M7,S7)&lt;&gt;0,MIN(M7,S7),"")</f>
        <v>0.0883</v>
      </c>
      <c r="J7" s="13">
        <f>IF(AND(ISNUMBER(H7),ISNUMBER(I7)),H7*I7,"")</f>
        <v>35.32</v>
      </c>
      <c r="K7" s="11">
        <v>66508</v>
      </c>
      <c r="L7" s="11"/>
      <c r="M7" s="12">
        <f>IFERROR(IF(OR(L7&gt;=N7,H7&gt;=N7),LOOKUP(IF(L7="",H7,L7),{0,1,10,50,100,500,1000,2500,5000},{0.0,0.26,0.174,0.1046,0.0883,0.0604,0.05343,0.0511,0.04646}),"MOQ="&amp;N7),"")</f>
        <v>0.0883</v>
      </c>
      <c r="N7" s="11">
        <v>1</v>
      </c>
      <c r="O7" s="13">
        <f>IFERROR(IF(L7="",H7,L7)*M7,"")</f>
        <v>35.32</v>
      </c>
      <c r="P7" s="11" t="s">
        <v>191</v>
      </c>
      <c r="Q7" s="11">
        <v>57211</v>
      </c>
      <c r="R7" s="11"/>
      <c r="S7" s="12">
        <f>IFERROR(IF(OR(R7&gt;=T7,H7&gt;=T7),LOOKUP(IF(R7="",H7,R7),{0,1,10,100,500,1000,2500,5000,10000},{0.0,0.26,0.138,0.089,0.061,0.054,0.052,0.046,0.046}),"MOQ="&amp;T7),"")</f>
        <v>0.089</v>
      </c>
      <c r="T7" s="11">
        <v>1</v>
      </c>
      <c r="U7" s="13">
        <f>IFERROR(IF(R7="",H7,R7)*S7,"")</f>
        <v>35.6</v>
      </c>
      <c r="V7" s="11" t="s">
        <v>223</v>
      </c>
    </row>
    <row r="8" spans="1:22">
      <c r="A8" s="11" t="s">
        <v>18</v>
      </c>
      <c r="B8" s="11" t="s">
        <v>12</v>
      </c>
      <c r="C8" s="11" t="s">
        <v>19</v>
      </c>
      <c r="D8" s="11" t="s">
        <v>20</v>
      </c>
      <c r="E8" s="11" t="s">
        <v>21</v>
      </c>
      <c r="F8" s="11" t="s">
        <v>16</v>
      </c>
      <c r="G8" s="11" t="s">
        <v>22</v>
      </c>
      <c r="H8" s="11">
        <f>CEILING(BoardQty*3.0,1)</f>
        <v>300</v>
      </c>
      <c r="I8" s="12">
        <f>IF(MIN(M8,S8)&lt;&gt;0,MIN(M8,S8),"")</f>
        <v>0.054</v>
      </c>
      <c r="J8" s="13">
        <f>IF(AND(ISNUMBER(H8),ISNUMBER(I8)),H8*I8,"")</f>
        <v>16.2</v>
      </c>
      <c r="K8" s="11">
        <v>1440111</v>
      </c>
      <c r="L8" s="11"/>
      <c r="M8" s="12">
        <f>IFERROR(IF(OR(L8&gt;=N8,H8&gt;=N8),LOOKUP(IF(L8="",H8,L8),{0,1,10,50,100,500,1000,2500,5000},{0.0,0.23,0.154,0.0922,0.0778,0.05324,0.04709,0.04504,0.04095}),"MOQ="&amp;N8),"")</f>
        <v>0.0778</v>
      </c>
      <c r="N8" s="11">
        <v>1</v>
      </c>
      <c r="O8" s="13">
        <f>IFERROR(IF(L8="",H8,L8)*M8,"")</f>
        <v>23.34</v>
      </c>
      <c r="P8" s="11" t="s">
        <v>192</v>
      </c>
      <c r="Q8" s="11">
        <v>777764</v>
      </c>
      <c r="R8" s="11"/>
      <c r="S8" s="12">
        <f>IFERROR(IF(OR(R8&gt;=T8,H8&gt;=T8),LOOKUP(IF(R8="",H8,R8),{0,1,10,100,1000,2500,10000,15000,45000,90000},{0.0,0.229,0.092,0.054,0.048,0.041,0.036,0.035,0.032,0.029}),"MOQ="&amp;T8),"")</f>
        <v>0.054</v>
      </c>
      <c r="T8" s="11">
        <v>1</v>
      </c>
      <c r="U8" s="13">
        <f>IFERROR(IF(R8="",H8,R8)*S8,"")</f>
        <v>16.2</v>
      </c>
      <c r="V8" s="11" t="s">
        <v>224</v>
      </c>
    </row>
    <row r="9" spans="1:22">
      <c r="A9" s="11" t="s">
        <v>23</v>
      </c>
      <c r="B9" s="11" t="s">
        <v>12</v>
      </c>
      <c r="C9" s="11" t="s">
        <v>24</v>
      </c>
      <c r="D9" s="11" t="s">
        <v>25</v>
      </c>
      <c r="E9" s="11" t="s">
        <v>21</v>
      </c>
      <c r="F9" s="11" t="s">
        <v>16</v>
      </c>
      <c r="G9" s="11" t="s">
        <v>26</v>
      </c>
      <c r="H9" s="11">
        <f>CEILING(BoardQty*3.0,1)</f>
        <v>300</v>
      </c>
      <c r="I9" s="12">
        <f>IF(MIN(M9,S9)&lt;&gt;0,MIN(M9,S9),"")</f>
        <v/>
      </c>
      <c r="J9" s="13">
        <f>IF(AND(ISNUMBER(H9),ISNUMBER(I9)),H9*I9,"")</f>
        <v/>
      </c>
      <c r="Q9" s="14" t="s">
        <v>219</v>
      </c>
      <c r="R9" s="11"/>
      <c r="S9" s="12">
        <f>IFERROR(IF(OR(R9&gt;=T9,H9&gt;=T9),LOOKUP(IF(R9="",H9,R9),{0,1,10000,20000},{0.0,0.083,0.083,0.078}),"MOQ="&amp;T9),"")</f>
        <v/>
      </c>
      <c r="T9" s="11">
        <v>10000</v>
      </c>
      <c r="U9" s="13">
        <f>IFERROR(IF(R9="",H9,R9)*S9,"")</f>
        <v/>
      </c>
      <c r="V9" s="11" t="s">
        <v>225</v>
      </c>
    </row>
    <row r="10" spans="1:22" ht="75" customHeight="1">
      <c r="A10" s="11" t="s">
        <v>27</v>
      </c>
      <c r="B10" s="11" t="s">
        <v>28</v>
      </c>
      <c r="C10" s="11" t="s">
        <v>29</v>
      </c>
      <c r="D10" s="11" t="s">
        <v>30</v>
      </c>
      <c r="E10" s="11" t="s">
        <v>21</v>
      </c>
      <c r="F10" s="11" t="s">
        <v>16</v>
      </c>
      <c r="G10" s="11" t="s">
        <v>31</v>
      </c>
      <c r="H10" s="11">
        <f>CEILING(BoardQty*12.0,1)</f>
        <v>1200</v>
      </c>
      <c r="I10" s="12">
        <f>IF(MIN(M10,S10)&lt;&gt;0,MIN(M10,S10),"")</f>
        <v>0.00475</v>
      </c>
      <c r="J10" s="13">
        <f>IF(AND(ISNUMBER(H10),ISNUMBER(I10)),H10*I10,"")</f>
        <v>5.7</v>
      </c>
      <c r="K10" s="11">
        <v>14729</v>
      </c>
      <c r="L10" s="11"/>
      <c r="M10" s="12">
        <f>IFERROR(IF(OR(L10&gt;=N10,H10&gt;=N10),LOOKUP(IF(L10="",H10,L10),{0,1,10,50,100,500,1000,2500,5000},{0.0,0.1,0.019,0.0104,0.0085,0.00606,0.00475,0.00432,0.00398}),"MOQ="&amp;N10),"")</f>
        <v>0.00475</v>
      </c>
      <c r="N10" s="11">
        <v>1</v>
      </c>
      <c r="O10" s="13">
        <f>IFERROR(IF(L10="",H10,L10)*M10,"")</f>
        <v>5.7</v>
      </c>
      <c r="P10" s="11" t="s">
        <v>193</v>
      </c>
      <c r="Q10" s="11">
        <v>84464</v>
      </c>
      <c r="R10" s="11"/>
      <c r="S10" s="12">
        <f>IFERROR(IF(OR(R10&gt;=T10,H10&gt;=T10),LOOKUP(IF(R10="",H10,R10),{0,1,10,100,1000,2500,15000},{0.0,0.1,0.011,0.007,0.005,0.004,0.004}),"MOQ="&amp;T10),"")</f>
        <v>0.005</v>
      </c>
      <c r="T10" s="11">
        <v>1</v>
      </c>
      <c r="U10" s="13">
        <f>IFERROR(IF(R10="",H10,R10)*S10,"")</f>
        <v>6.0</v>
      </c>
      <c r="V10" s="11" t="s">
        <v>226</v>
      </c>
    </row>
    <row r="11" spans="1:22">
      <c r="A11" s="11" t="s">
        <v>32</v>
      </c>
      <c r="B11" s="11" t="s">
        <v>12</v>
      </c>
      <c r="C11" s="11" t="s">
        <v>33</v>
      </c>
      <c r="D11" s="11" t="s">
        <v>34</v>
      </c>
      <c r="E11" s="11" t="s">
        <v>35</v>
      </c>
      <c r="F11" s="11" t="s">
        <v>16</v>
      </c>
      <c r="G11" s="11" t="s">
        <v>36</v>
      </c>
      <c r="H11" s="11">
        <f>CEILING(BoardQty*1.0,1)</f>
        <v>100</v>
      </c>
      <c r="I11" s="12">
        <f>IF(MIN(M11,S11)&lt;&gt;0,MIN(M11,S11),"")</f>
        <v>0.055</v>
      </c>
      <c r="J11" s="13">
        <f>IF(AND(ISNUMBER(H11),ISNUMBER(I11)),H11*I11,"")</f>
        <v>5.5</v>
      </c>
      <c r="K11" s="11">
        <v>7936</v>
      </c>
      <c r="L11" s="11"/>
      <c r="M11" s="12">
        <f>IFERROR(IF(OR(L11&gt;=N11,H11&gt;=N11),LOOKUP(IF(L11="",H11,L11),{0,1,10,50,100,500,1000},{0.0,0.2,0.138,0.0918,0.078,0.05504,0.04816}),"MOQ="&amp;N11),"")</f>
        <v>0.078</v>
      </c>
      <c r="N11" s="11">
        <v>1</v>
      </c>
      <c r="O11" s="13">
        <f>IFERROR(IF(L11="",H11,L11)*M11,"")</f>
        <v>7.8</v>
      </c>
      <c r="P11" s="11" t="s">
        <v>194</v>
      </c>
      <c r="Q11" s="11">
        <v>4417</v>
      </c>
      <c r="R11" s="11"/>
      <c r="S11" s="12">
        <f>IFERROR(IF(OR(R11&gt;=T11,H11&gt;=T11),LOOKUP(IF(R11="",H11,R11),{0,1,10,100,1000,4000,8000,24000,48000,100000},{0.0,0.199,0.092,0.055,0.049,0.042,0.037,0.035,0.034,0.032}),"MOQ="&amp;T11),"")</f>
        <v>0.055</v>
      </c>
      <c r="T11" s="11">
        <v>1</v>
      </c>
      <c r="U11" s="13">
        <f>IFERROR(IF(R11="",H11,R11)*S11,"")</f>
        <v>5.5</v>
      </c>
      <c r="V11" s="11" t="s">
        <v>227</v>
      </c>
    </row>
    <row r="12" spans="1:22">
      <c r="A12" s="11" t="s">
        <v>37</v>
      </c>
      <c r="B12" s="11" t="s">
        <v>38</v>
      </c>
      <c r="C12" s="11" t="s">
        <v>39</v>
      </c>
      <c r="D12" s="11" t="s">
        <v>40</v>
      </c>
      <c r="E12" s="11" t="s">
        <v>41</v>
      </c>
      <c r="F12" s="11" t="s">
        <v>42</v>
      </c>
      <c r="G12" s="11" t="s">
        <v>43</v>
      </c>
      <c r="H12" s="11">
        <f>CEILING(BoardQty*2.0,1)</f>
        <v>200</v>
      </c>
      <c r="I12" s="12">
        <f>IF(MIN(M12,S12)&lt;&gt;0,MIN(M12,S12),"")</f>
        <v>0.1534</v>
      </c>
      <c r="J12" s="13">
        <f>IF(AND(ISNUMBER(H12),ISNUMBER(I12)),H12*I12,"")</f>
        <v>30.68</v>
      </c>
      <c r="K12" s="11">
        <v>6427</v>
      </c>
      <c r="L12" s="11"/>
      <c r="M12" s="12">
        <f>IFERROR(IF(OR(L12&gt;=N12,H12&gt;=N12),LOOKUP(IF(L12="",H12,L12),{0,1,10,50,100,500,1000},{0.0,0.37,0.256,0.179,0.1534,0.11502,0.09713}),"MOQ="&amp;N12),"")</f>
        <v>0.1534</v>
      </c>
      <c r="N12" s="11">
        <v>1</v>
      </c>
      <c r="O12" s="13">
        <f>IFERROR(IF(L12="",H12,L12)*M12,"")</f>
        <v>30.68</v>
      </c>
      <c r="P12" s="11" t="s">
        <v>195</v>
      </c>
      <c r="Q12" s="11">
        <v>3922</v>
      </c>
      <c r="R12" s="11"/>
      <c r="S12" s="12">
        <f>IFERROR(IF(OR(R12&gt;=T12,H12&gt;=T12),LOOKUP(IF(R12="",H12,R12),{0,1,10,100,500,1000,2000,4000},{0.0,0.38,0.184,0.155,0.117,0.099,0.093,0.086}),"MOQ="&amp;T12),"")</f>
        <v>0.155</v>
      </c>
      <c r="T12" s="11">
        <v>1</v>
      </c>
      <c r="U12" s="13">
        <f>IFERROR(IF(R12="",H12,R12)*S12,"")</f>
        <v>31.0</v>
      </c>
      <c r="V12" s="11" t="s">
        <v>228</v>
      </c>
    </row>
    <row r="13" spans="1:22" ht="30" customHeight="1">
      <c r="A13" s="11" t="s">
        <v>44</v>
      </c>
      <c r="B13" s="11" t="s">
        <v>45</v>
      </c>
      <c r="C13" s="11" t="s">
        <v>46</v>
      </c>
      <c r="E13" s="11" t="s">
        <v>47</v>
      </c>
      <c r="F13" s="11" t="s">
        <v>48</v>
      </c>
      <c r="G13" s="11" t="s">
        <v>45</v>
      </c>
      <c r="H13" s="11">
        <f>CEILING(BoardQty*1.0,1)</f>
        <v>100</v>
      </c>
      <c r="I13" s="12">
        <f>IF(MIN(M13,S13)&lt;&gt;0,MIN(M13,S13),"")</f>
        <v>0.105</v>
      </c>
      <c r="J13" s="13">
        <f>IF(AND(ISNUMBER(H13),ISNUMBER(I13)),H13*I13,"")</f>
        <v>10.5</v>
      </c>
      <c r="K13" s="11">
        <v>29150</v>
      </c>
      <c r="L13" s="11"/>
      <c r="M13" s="12">
        <f>IFERROR(IF(OR(L13&gt;=N13,H13&gt;=N13),LOOKUP(IF(L13="",H13,L13),{0,1,10,100,500,1000,2000},{0.0,0.33,0.258,0.1158,0.10464,0.08595,0.07474}),"MOQ="&amp;N13),"")</f>
        <v>0.1158</v>
      </c>
      <c r="N13" s="11">
        <v>1</v>
      </c>
      <c r="O13" s="13">
        <f>IFERROR(IF(L13="",H13,L13)*M13,"")</f>
        <v>11.58</v>
      </c>
      <c r="P13" s="11" t="s">
        <v>196</v>
      </c>
      <c r="Q13" s="11">
        <v>10775</v>
      </c>
      <c r="R13" s="11"/>
      <c r="S13" s="12">
        <f>IFERROR(IF(OR(R13&gt;=T13,H13&gt;=T13),LOOKUP(IF(R13="",H13,R13),{0,1,10,100,1000,5000,10000,25000,100000},{0.0,0.319,0.233,0.105,0.075,0.066,0.054,0.05,0.045}),"MOQ="&amp;T13),"")</f>
        <v>0.105</v>
      </c>
      <c r="T13" s="11">
        <v>1</v>
      </c>
      <c r="U13" s="13">
        <f>IFERROR(IF(R13="",H13,R13)*S13,"")</f>
        <v>10.5</v>
      </c>
      <c r="V13" s="11" t="s">
        <v>229</v>
      </c>
    </row>
    <row r="14" spans="1:22" ht="30" customHeight="1">
      <c r="A14" s="11" t="s">
        <v>49</v>
      </c>
      <c r="B14" s="11" t="s">
        <v>50</v>
      </c>
      <c r="C14" s="11" t="s">
        <v>51</v>
      </c>
      <c r="E14" s="11" t="s">
        <v>52</v>
      </c>
      <c r="F14" s="11" t="s">
        <v>53</v>
      </c>
      <c r="G14" s="11" t="s">
        <v>54</v>
      </c>
      <c r="H14" s="11">
        <f>CEILING(BoardQty*1.0,1)</f>
        <v>100</v>
      </c>
      <c r="I14" s="12">
        <f>IF(MIN(M14,S14)&lt;&gt;0,MIN(M14,S14),"")</f>
        <v/>
      </c>
      <c r="J14" s="13">
        <f>IF(AND(ISNUMBER(H14),ISNUMBER(I14)),H14*I14,"")</f>
        <v/>
      </c>
    </row>
    <row r="15" spans="1:22" ht="30" customHeight="1">
      <c r="A15" s="11" t="s">
        <v>55</v>
      </c>
      <c r="B15" s="11" t="s">
        <v>56</v>
      </c>
      <c r="C15" s="11" t="s">
        <v>57</v>
      </c>
      <c r="E15" s="11" t="s">
        <v>58</v>
      </c>
      <c r="F15" s="11" t="s">
        <v>53</v>
      </c>
      <c r="G15" s="11" t="s">
        <v>59</v>
      </c>
      <c r="H15" s="11">
        <f>CEILING(BoardQty*1.0,1)</f>
        <v>100</v>
      </c>
      <c r="I15" s="12">
        <f>IF(MIN(M15,S15)&lt;&gt;0,MIN(M15,S15),"")</f>
        <v/>
      </c>
      <c r="J15" s="13">
        <f>IF(AND(ISNUMBER(H15),ISNUMBER(I15)),H15*I15,"")</f>
        <v/>
      </c>
    </row>
    <row r="16" spans="1:22" ht="45" customHeight="1">
      <c r="A16" s="11" t="s">
        <v>60</v>
      </c>
      <c r="B16" s="11" t="s">
        <v>61</v>
      </c>
      <c r="C16" s="11" t="s">
        <v>62</v>
      </c>
      <c r="E16" s="11" t="s">
        <v>63</v>
      </c>
      <c r="F16" s="11" t="s">
        <v>53</v>
      </c>
      <c r="G16" s="11" t="s">
        <v>64</v>
      </c>
      <c r="H16" s="11">
        <f>CEILING(BoardQty*1.0,1)</f>
        <v>100</v>
      </c>
      <c r="I16" s="12">
        <f>IF(MIN(M16,S16)&lt;&gt;0,MIN(M16,S16),"")</f>
        <v/>
      </c>
      <c r="J16" s="13">
        <f>IF(AND(ISNUMBER(H16),ISNUMBER(I16)),H16*I16,"")</f>
        <v/>
      </c>
    </row>
    <row r="17" spans="1:22" ht="45" customHeight="1">
      <c r="A17" s="11" t="s">
        <v>65</v>
      </c>
      <c r="B17" s="11" t="s">
        <v>66</v>
      </c>
      <c r="C17" s="11" t="s">
        <v>67</v>
      </c>
      <c r="E17" s="11" t="s">
        <v>68</v>
      </c>
      <c r="F17" s="11" t="s">
        <v>53</v>
      </c>
      <c r="G17" s="11" t="s">
        <v>69</v>
      </c>
      <c r="H17" s="11">
        <f>CEILING(BoardQty*1.0,1)</f>
        <v>100</v>
      </c>
      <c r="I17" s="12">
        <f>IF(MIN(M17,S17)&lt;&gt;0,MIN(M17,S17),"")</f>
        <v/>
      </c>
      <c r="J17" s="13">
        <f>IF(AND(ISNUMBER(H17),ISNUMBER(I17)),H17*I17,"")</f>
        <v/>
      </c>
    </row>
    <row r="18" spans="1:22" ht="30" customHeight="1">
      <c r="A18" s="11" t="s">
        <v>70</v>
      </c>
      <c r="B18" s="11" t="s">
        <v>71</v>
      </c>
      <c r="C18" s="11" t="s">
        <v>72</v>
      </c>
      <c r="D18" s="11" t="s">
        <v>73</v>
      </c>
      <c r="E18" s="11" t="s">
        <v>74</v>
      </c>
      <c r="F18" s="11" t="s">
        <v>75</v>
      </c>
      <c r="G18" s="11" t="s">
        <v>71</v>
      </c>
      <c r="H18" s="11">
        <f>CEILING(BoardQty*1.0,1)</f>
        <v>100</v>
      </c>
      <c r="I18" s="12">
        <f>IF(MIN(M18,S18)&lt;&gt;0,MIN(M18,S18),"")</f>
        <v>0.56</v>
      </c>
      <c r="J18" s="13">
        <f>IF(AND(ISNUMBER(H18),ISNUMBER(I18)),H18*I18,"")</f>
        <v>56.0</v>
      </c>
      <c r="K18" s="11">
        <v>1990</v>
      </c>
      <c r="L18" s="11"/>
      <c r="M18" s="12">
        <f>IFERROR(IF(OR(L18&gt;=N18,H18&gt;=N18),LOOKUP(IF(L18="",H18,L18),{0,1,10,25,50,100,250},{0.0,0.81,0.688,0.66,0.6458,0.6177,0.56156}),"MOQ="&amp;N18),"")</f>
        <v>0.6177</v>
      </c>
      <c r="N18" s="11">
        <v>1</v>
      </c>
      <c r="O18" s="13">
        <f>IFERROR(IF(L18="",H18,L18)*M18,"")</f>
        <v>61.77</v>
      </c>
      <c r="P18" s="11" t="s">
        <v>197</v>
      </c>
      <c r="Q18" s="11">
        <v>179515</v>
      </c>
      <c r="R18" s="11"/>
      <c r="S18" s="12">
        <f>IFERROR(IF(OR(R18&gt;=T18,H18&gt;=T18),LOOKUP(IF(R18="",H18,R18),{0,1,10,100,500,800,4800,9600},{0.0,0.796,0.643,0.56,0.49,0.406,0.371,0.363}),"MOQ="&amp;T18),"")</f>
        <v>0.56</v>
      </c>
      <c r="T18" s="11">
        <v>1</v>
      </c>
      <c r="U18" s="13">
        <f>IFERROR(IF(R18="",H18,R18)*S18,"")</f>
        <v>56.0</v>
      </c>
      <c r="V18" s="11" t="s">
        <v>230</v>
      </c>
    </row>
    <row r="19" spans="1:22">
      <c r="A19" s="11" t="s">
        <v>76</v>
      </c>
      <c r="B19" s="11" t="s">
        <v>77</v>
      </c>
      <c r="C19" s="11" t="s">
        <v>78</v>
      </c>
      <c r="E19" s="11" t="s">
        <v>79</v>
      </c>
      <c r="F19" s="11" t="s">
        <v>80</v>
      </c>
      <c r="G19" s="11" t="s">
        <v>81</v>
      </c>
      <c r="H19" s="11">
        <f>CEILING(BoardQty*1.0,1)</f>
        <v>100</v>
      </c>
      <c r="I19" s="12">
        <f>IF(MIN(M19,S19)&lt;&gt;0,MIN(M19,S19),"")</f>
        <v>0.0247</v>
      </c>
      <c r="J19" s="13">
        <f>IF(AND(ISNUMBER(H19),ISNUMBER(I19)),H19*I19,"")</f>
        <v>2.47</v>
      </c>
      <c r="K19" s="11">
        <v>3119937</v>
      </c>
      <c r="L19" s="11"/>
      <c r="M19" s="12">
        <f>IFERROR(IF(OR(L19&gt;=N19,H19&gt;=N19),LOOKUP(IF(L19="",H19,L19),{0,1,10,100,1000,2500,5000},{0.0,0.1,0.061,0.0247,0.01108,0.00962,0.00794}),"MOQ="&amp;N19),"")</f>
        <v>0.0247</v>
      </c>
      <c r="N19" s="11">
        <v>1</v>
      </c>
      <c r="O19" s="13">
        <f>IFERROR(IF(L19="",H19,L19)*M19,"")</f>
        <v>2.47</v>
      </c>
      <c r="P19" s="11" t="s">
        <v>198</v>
      </c>
      <c r="Q19" s="11">
        <v>1623010</v>
      </c>
      <c r="R19" s="11"/>
      <c r="S19" s="12">
        <f>IFERROR(IF(OR(R19&gt;=T19,H19&gt;=T19),LOOKUP(IF(R19="",H19,R19),{0,1,10,100,1000,2500,5000,15000},{0.0,0.12,0.062,0.026,0.012,0.01,0.009,0.009}),"MOQ="&amp;T19),"")</f>
        <v>0.026</v>
      </c>
      <c r="T19" s="11">
        <v>1</v>
      </c>
      <c r="U19" s="13">
        <f>IFERROR(IF(R19="",H19,R19)*S19,"")</f>
        <v>2.6</v>
      </c>
      <c r="V19" s="11" t="s">
        <v>231</v>
      </c>
    </row>
    <row r="20" spans="1:22">
      <c r="A20" s="11" t="s">
        <v>82</v>
      </c>
      <c r="B20" s="11" t="s">
        <v>83</v>
      </c>
      <c r="C20" s="11" t="s">
        <v>84</v>
      </c>
      <c r="E20" s="11" t="s">
        <v>79</v>
      </c>
      <c r="F20" s="11" t="s">
        <v>80</v>
      </c>
      <c r="G20" s="11" t="s">
        <v>85</v>
      </c>
      <c r="H20" s="11">
        <f>CEILING(BoardQty*1.0,1)</f>
        <v>100</v>
      </c>
      <c r="I20" s="12">
        <f>IF(MIN(M20,S20)&lt;&gt;0,MIN(M20,S20),"")</f>
        <v>0.0247</v>
      </c>
      <c r="J20" s="13">
        <f>IF(AND(ISNUMBER(H20),ISNUMBER(I20)),H20*I20,"")</f>
        <v>2.47</v>
      </c>
      <c r="K20" s="11">
        <v>60694</v>
      </c>
      <c r="L20" s="11"/>
      <c r="M20" s="12">
        <f>IFERROR(IF(OR(L20&gt;=N20,H20&gt;=N20),LOOKUP(IF(L20="",H20,L20),{0,1,10,100,1000,2500,5000},{0.0,0.1,0.061,0.0247,0.01108,0.00962,0.00794}),"MOQ="&amp;N20),"")</f>
        <v>0.0247</v>
      </c>
      <c r="N20" s="11">
        <v>1</v>
      </c>
      <c r="O20" s="13">
        <f>IFERROR(IF(L20="",H20,L20)*M20,"")</f>
        <v>2.47</v>
      </c>
      <c r="P20" s="11" t="s">
        <v>199</v>
      </c>
      <c r="Q20" s="11">
        <v>26038</v>
      </c>
      <c r="R20" s="11"/>
      <c r="S20" s="12">
        <f>IFERROR(IF(OR(R20&gt;=T20,H20&gt;=T20),LOOKUP(IF(R20="",H20,R20),{0,1,10,100,1000,2500,5000,15000},{0.0,0.12,0.062,0.026,0.012,0.01,0.009,0.009}),"MOQ="&amp;T20),"")</f>
        <v>0.026</v>
      </c>
      <c r="T20" s="11">
        <v>1</v>
      </c>
      <c r="U20" s="13">
        <f>IFERROR(IF(R20="",H20,R20)*S20,"")</f>
        <v>2.6</v>
      </c>
      <c r="V20" s="11" t="s">
        <v>232</v>
      </c>
    </row>
    <row r="21" spans="1:22">
      <c r="A21" s="11" t="s">
        <v>86</v>
      </c>
      <c r="B21" s="11" t="s">
        <v>87</v>
      </c>
      <c r="C21" s="11" t="s">
        <v>88</v>
      </c>
      <c r="E21" s="11" t="s">
        <v>79</v>
      </c>
      <c r="F21" s="11" t="s">
        <v>80</v>
      </c>
      <c r="G21" s="11" t="s">
        <v>89</v>
      </c>
      <c r="H21" s="11">
        <f>CEILING(BoardQty*4.0,1)</f>
        <v>400</v>
      </c>
      <c r="I21" s="12">
        <f>IF(MIN(M21,S21)&lt;&gt;0,MIN(M21,S21),"")</f>
        <v>0.0133</v>
      </c>
      <c r="J21" s="13">
        <f>IF(AND(ISNUMBER(H21),ISNUMBER(I21)),H21*I21,"")</f>
        <v>5.32</v>
      </c>
      <c r="K21" s="11">
        <v>249575</v>
      </c>
      <c r="L21" s="11"/>
      <c r="M21" s="12">
        <f>IFERROR(IF(OR(L21&gt;=N21,H21&gt;=N21),LOOKUP(IF(L21="",H21,L21),{0,1,10,100,1000,2500,5000},{0.0,0.1,0.033,0.0133,0.00599,0.0052,0.00429}),"MOQ="&amp;N21),"")</f>
        <v>0.0133</v>
      </c>
      <c r="N21" s="11">
        <v>1</v>
      </c>
      <c r="O21" s="13">
        <f>IFERROR(IF(L21="",H21,L21)*M21,"")</f>
        <v>5.32</v>
      </c>
      <c r="P21" s="11" t="s">
        <v>200</v>
      </c>
      <c r="Q21" s="11">
        <v>93933</v>
      </c>
      <c r="R21" s="11"/>
      <c r="S21" s="12">
        <f>IFERROR(IF(OR(R21&gt;=T21,H21&gt;=T21),LOOKUP(IF(R21="",H21,R21),{0,1,10,100,1000,2500,5000,15000},{0.0,0.1,0.034,0.014,0.007,0.006,0.005,0.005}),"MOQ="&amp;T21),"")</f>
        <v>0.014</v>
      </c>
      <c r="T21" s="11">
        <v>1</v>
      </c>
      <c r="U21" s="13">
        <f>IFERROR(IF(R21="",H21,R21)*S21,"")</f>
        <v>5.6</v>
      </c>
      <c r="V21" s="11" t="s">
        <v>233</v>
      </c>
    </row>
    <row r="22" spans="1:22">
      <c r="A22" s="11" t="s">
        <v>90</v>
      </c>
      <c r="B22" s="11" t="s">
        <v>91</v>
      </c>
      <c r="C22" s="11" t="s">
        <v>92</v>
      </c>
      <c r="E22" s="11" t="s">
        <v>79</v>
      </c>
      <c r="F22" s="11" t="s">
        <v>80</v>
      </c>
      <c r="G22" s="11" t="s">
        <v>93</v>
      </c>
      <c r="H22" s="11">
        <f>CEILING(BoardQty*1.0,1)</f>
        <v>100</v>
      </c>
      <c r="I22" s="12">
        <f>IF(MIN(M22,S22)&lt;&gt;0,MIN(M22,S22),"")</f>
        <v>0.0133</v>
      </c>
      <c r="J22" s="13">
        <f>IF(AND(ISNUMBER(H22),ISNUMBER(I22)),H22*I22,"")</f>
        <v>1.33</v>
      </c>
      <c r="K22" s="11">
        <v>104676</v>
      </c>
      <c r="L22" s="11"/>
      <c r="M22" s="12">
        <f>IFERROR(IF(OR(L22&gt;=N22,H22&gt;=N22),LOOKUP(IF(L22="",H22,L22),{0,1,10,100,1000,2500,5000},{0.0,0.1,0.033,0.0133,0.00599,0.0052,0.00429}),"MOQ="&amp;N22),"")</f>
        <v>0.0133</v>
      </c>
      <c r="N22" s="11">
        <v>1</v>
      </c>
      <c r="O22" s="13">
        <f>IFERROR(IF(L22="",H22,L22)*M22,"")</f>
        <v>1.33</v>
      </c>
      <c r="P22" s="11" t="s">
        <v>201</v>
      </c>
      <c r="Q22" s="11">
        <v>135542</v>
      </c>
      <c r="R22" s="11"/>
      <c r="S22" s="12">
        <f>IFERROR(IF(OR(R22&gt;=T22,H22&gt;=T22),LOOKUP(IF(R22="",H22,R22),{0,1,10,100,1000,2500,5000,15000},{0.0,0.1,0.034,0.014,0.007,0.006,0.005,0.005}),"MOQ="&amp;T22),"")</f>
        <v>0.014</v>
      </c>
      <c r="T22" s="11">
        <v>1</v>
      </c>
      <c r="U22" s="13">
        <f>IFERROR(IF(R22="",H22,R22)*S22,"")</f>
        <v>1.4</v>
      </c>
      <c r="V22" s="11" t="s">
        <v>234</v>
      </c>
    </row>
    <row r="23" spans="1:22">
      <c r="A23" s="11" t="s">
        <v>94</v>
      </c>
      <c r="B23" s="11" t="s">
        <v>95</v>
      </c>
      <c r="C23" s="11" t="s">
        <v>96</v>
      </c>
      <c r="E23" s="11" t="s">
        <v>79</v>
      </c>
      <c r="F23" s="11" t="s">
        <v>80</v>
      </c>
      <c r="G23" s="11" t="s">
        <v>97</v>
      </c>
      <c r="H23" s="11">
        <f>CEILING(BoardQty*1.0,1)</f>
        <v>100</v>
      </c>
      <c r="I23" s="12">
        <f>IF(MIN(M23,S23)&lt;&gt;0,MIN(M23,S23),"")</f>
        <v>0.019</v>
      </c>
      <c r="J23" s="13">
        <f>IF(AND(ISNUMBER(H23),ISNUMBER(I23)),H23*I23,"")</f>
        <v>1.9</v>
      </c>
      <c r="K23" s="11">
        <v>2937878</v>
      </c>
      <c r="L23" s="11"/>
      <c r="M23" s="12">
        <f>IFERROR(IF(OR(L23&gt;=N23,H23&gt;=N23),LOOKUP(IF(L23="",H23,L23),{0,1,10,50,100,500,1000,5000},{0.0,0.1,0.035,0.0226,0.019,0.01326,0.01155,0.0086}),"MOQ="&amp;N23),"")</f>
        <v>0.019</v>
      </c>
      <c r="N23" s="11">
        <v>1</v>
      </c>
      <c r="O23" s="13">
        <f>IFERROR(IF(L23="",H23,L23)*M23,"")</f>
        <v>1.9</v>
      </c>
      <c r="P23" s="11" t="s">
        <v>202</v>
      </c>
      <c r="Q23" s="11">
        <v>448736</v>
      </c>
      <c r="R23" s="11"/>
      <c r="S23" s="12">
        <f>IFERROR(IF(OR(R23&gt;=T23,H23&gt;=T23),LOOKUP(IF(R23="",H23,R23),{0,1,10,100,1000,2500,10000,15000,45000},{0.0,0.1,0.062,0.026,0.012,0.01,0.007,0.006,0.005}),"MOQ="&amp;T23),"")</f>
        <v>0.026</v>
      </c>
      <c r="T23" s="11">
        <v>1</v>
      </c>
      <c r="U23" s="13">
        <f>IFERROR(IF(R23="",H23,R23)*S23,"")</f>
        <v>2.6</v>
      </c>
      <c r="V23" s="11" t="s">
        <v>235</v>
      </c>
    </row>
    <row r="24" spans="1:22">
      <c r="A24" s="11" t="s">
        <v>98</v>
      </c>
      <c r="B24" s="11" t="s">
        <v>99</v>
      </c>
      <c r="C24" s="11" t="s">
        <v>100</v>
      </c>
      <c r="E24" s="11" t="s">
        <v>79</v>
      </c>
      <c r="F24" s="11" t="s">
        <v>80</v>
      </c>
      <c r="G24" s="11" t="s">
        <v>101</v>
      </c>
      <c r="H24" s="11">
        <f>CEILING(BoardQty*3.0,1)</f>
        <v>300</v>
      </c>
      <c r="I24" s="12">
        <f>IF(MIN(M24,S24)&lt;&gt;0,MIN(M24,S24),"")</f>
        <v>0.014</v>
      </c>
      <c r="J24" s="13">
        <f>IF(AND(ISNUMBER(H24),ISNUMBER(I24)),H24*I24,"")</f>
        <v>4.2</v>
      </c>
      <c r="K24" s="11">
        <v>378396</v>
      </c>
      <c r="L24" s="11"/>
      <c r="M24" s="12">
        <f>IFERROR(IF(OR(L24&gt;=N24,H24&gt;=N24),LOOKUP(IF(L24="",H24,L24),{0,1,10,50,100,500,1000,5000},{0.0,0.1,0.035,0.0226,0.019,0.01326,0.01155,0.0086}),"MOQ="&amp;N24),"")</f>
        <v>0.019</v>
      </c>
      <c r="N24" s="11">
        <v>1</v>
      </c>
      <c r="O24" s="13">
        <f>IFERROR(IF(L24="",H24,L24)*M24,"")</f>
        <v>5.7</v>
      </c>
      <c r="P24" s="11" t="s">
        <v>203</v>
      </c>
      <c r="Q24" s="11">
        <v>964117</v>
      </c>
      <c r="R24" s="11"/>
      <c r="S24" s="12">
        <f>IFERROR(IF(OR(R24&gt;=T24,H24&gt;=T24),LOOKUP(IF(R24="",H24,R24),{0,1,10,100,1000,2500,10000,15000},{0.0,0.1,0.022,0.014,0.01,0.009,0.007,0.005}),"MOQ="&amp;T24),"")</f>
        <v>0.014</v>
      </c>
      <c r="T24" s="11">
        <v>1</v>
      </c>
      <c r="U24" s="13">
        <f>IFERROR(IF(R24="",H24,R24)*S24,"")</f>
        <v>4.2</v>
      </c>
      <c r="V24" s="11" t="s">
        <v>236</v>
      </c>
    </row>
    <row r="25" spans="1:22">
      <c r="A25" s="11" t="s">
        <v>102</v>
      </c>
      <c r="B25" s="11" t="s">
        <v>103</v>
      </c>
      <c r="C25" s="11" t="s">
        <v>104</v>
      </c>
      <c r="E25" s="11" t="s">
        <v>79</v>
      </c>
      <c r="F25" s="11" t="s">
        <v>80</v>
      </c>
      <c r="G25" s="11" t="s">
        <v>105</v>
      </c>
      <c r="H25" s="11">
        <f>CEILING(BoardQty*5.0,1)</f>
        <v>500</v>
      </c>
      <c r="I25" s="12">
        <f>IF(MIN(M25,S25)&lt;&gt;0,MIN(M25,S25),"")</f>
        <v>0.01326</v>
      </c>
      <c r="J25" s="13">
        <f>IF(AND(ISNUMBER(H25),ISNUMBER(I25)),H25*I25,"")</f>
        <v>6.63</v>
      </c>
      <c r="K25" s="11">
        <v>2247581</v>
      </c>
      <c r="L25" s="11"/>
      <c r="M25" s="12">
        <f>IFERROR(IF(OR(L25&gt;=N25,H25&gt;=N25),LOOKUP(IF(L25="",H25,L25),{0,1,10,50,100,500,1000,5000},{0.0,0.1,0.035,0.0226,0.019,0.01326,0.01155,0.0086}),"MOQ="&amp;N25),"")</f>
        <v>0.01326</v>
      </c>
      <c r="N25" s="11">
        <v>1</v>
      </c>
      <c r="O25" s="13">
        <f>IFERROR(IF(L25="",H25,L25)*M25,"")</f>
        <v>6.63</v>
      </c>
      <c r="P25" s="11" t="s">
        <v>204</v>
      </c>
      <c r="Q25" s="11">
        <v>2408384</v>
      </c>
      <c r="R25" s="11"/>
      <c r="S25" s="12">
        <f>IFERROR(IF(OR(R25&gt;=T25,H25&gt;=T25),LOOKUP(IF(R25="",H25,R25),{0,1,10,100,1000,2500,15000},{0.0,0.1,0.03,0.014,0.01,0.007,0.006}),"MOQ="&amp;T25),"")</f>
        <v>0.014</v>
      </c>
      <c r="T25" s="11">
        <v>1</v>
      </c>
      <c r="U25" s="13">
        <f>IFERROR(IF(R25="",H25,R25)*S25,"")</f>
        <v>7.0</v>
      </c>
      <c r="V25" s="11" t="s">
        <v>237</v>
      </c>
    </row>
    <row r="26" spans="1:22">
      <c r="A26" s="11" t="s">
        <v>106</v>
      </c>
      <c r="B26" s="11" t="s">
        <v>107</v>
      </c>
      <c r="C26" s="11" t="s">
        <v>108</v>
      </c>
      <c r="E26" s="11" t="s">
        <v>79</v>
      </c>
      <c r="F26" s="11" t="s">
        <v>80</v>
      </c>
      <c r="G26" s="11" t="s">
        <v>109</v>
      </c>
      <c r="H26" s="11">
        <f>CEILING(BoardQty*2.0,1)</f>
        <v>200</v>
      </c>
      <c r="I26" s="12">
        <f>IF(MIN(M26,S26)&lt;&gt;0,MIN(M26,S26),"")</f>
        <v>0.007</v>
      </c>
      <c r="J26" s="13">
        <f>IF(AND(ISNUMBER(H26),ISNUMBER(I26)),H26*I26,"")</f>
        <v>1.4</v>
      </c>
      <c r="K26" s="11">
        <v>135347</v>
      </c>
      <c r="L26" s="11"/>
      <c r="M26" s="12">
        <f>IFERROR(IF(OR(L26&gt;=N26,H26&gt;=N26),LOOKUP(IF(L26="",H26,L26),{0,1,10,50,100,500,1000,5000},{0.0,0.1,0.024,0.015,0.0125,0.00848,0.00731,0.00531}),"MOQ="&amp;N26),"")</f>
        <v>0.0125</v>
      </c>
      <c r="N26" s="11">
        <v>1</v>
      </c>
      <c r="O26" s="13">
        <f>IFERROR(IF(L26="",H26,L26)*M26,"")</f>
        <v>2.5</v>
      </c>
      <c r="P26" s="11" t="s">
        <v>205</v>
      </c>
      <c r="Q26" s="11">
        <v>27271</v>
      </c>
      <c r="R26" s="11"/>
      <c r="S26" s="12">
        <f>IFERROR(IF(OR(R26&gt;=T26,H26&gt;=T26),LOOKUP(IF(R26="",H26,R26),{0,1,10,100,1000,2500,15000},{0.0,0.1,0.017,0.007,0.006,0.004,0.003}),"MOQ="&amp;T26),"")</f>
        <v>0.007</v>
      </c>
      <c r="T26" s="11">
        <v>1</v>
      </c>
      <c r="U26" s="13">
        <f>IFERROR(IF(R26="",H26,R26)*S26,"")</f>
        <v>1.4</v>
      </c>
      <c r="V26" s="11" t="s">
        <v>238</v>
      </c>
    </row>
    <row r="27" spans="1:22">
      <c r="A27" s="11" t="s">
        <v>110</v>
      </c>
      <c r="B27" s="11" t="s">
        <v>111</v>
      </c>
      <c r="C27" s="11" t="s">
        <v>112</v>
      </c>
      <c r="E27" s="11" t="s">
        <v>79</v>
      </c>
      <c r="F27" s="11" t="s">
        <v>80</v>
      </c>
      <c r="G27" s="11" t="s">
        <v>113</v>
      </c>
      <c r="H27" s="11">
        <f>CEILING(BoardQty*1.0,1)</f>
        <v>100</v>
      </c>
      <c r="I27" s="12">
        <f>IF(MIN(M27,S27)&lt;&gt;0,MIN(M27,S27),"")</f>
        <v>0.007</v>
      </c>
      <c r="J27" s="13">
        <f>IF(AND(ISNUMBER(H27),ISNUMBER(I27)),H27*I27,"")</f>
        <v>0.7</v>
      </c>
      <c r="K27" s="11">
        <v>231675</v>
      </c>
      <c r="L27" s="11"/>
      <c r="M27" s="12">
        <f>IFERROR(IF(OR(L27&gt;=N27,H27&gt;=N27),LOOKUP(IF(L27="",H27,L27),{0,1,10,50,100,500,1000,5000},{0.0,0.1,0.024,0.015,0.0125,0.00848,0.00731,0.00531}),"MOQ="&amp;N27),"")</f>
        <v>0.0125</v>
      </c>
      <c r="N27" s="11">
        <v>1</v>
      </c>
      <c r="O27" s="13">
        <f>IFERROR(IF(L27="",H27,L27)*M27,"")</f>
        <v>1.25</v>
      </c>
      <c r="P27" s="11" t="s">
        <v>206</v>
      </c>
      <c r="Q27" s="11">
        <v>91154</v>
      </c>
      <c r="R27" s="11"/>
      <c r="S27" s="12">
        <f>IFERROR(IF(OR(R27&gt;=T27,H27&gt;=T27),LOOKUP(IF(R27="",H27,R27),{0,1,10,100,1000,2500,15000},{0.0,0.1,0.017,0.007,0.006,0.004,0.003}),"MOQ="&amp;T27),"")</f>
        <v>0.007</v>
      </c>
      <c r="T27" s="11">
        <v>1</v>
      </c>
      <c r="U27" s="13">
        <f>IFERROR(IF(R27="",H27,R27)*S27,"")</f>
        <v>0.7</v>
      </c>
      <c r="V27" s="11" t="s">
        <v>239</v>
      </c>
    </row>
    <row r="28" spans="1:22">
      <c r="A28" s="11" t="s">
        <v>114</v>
      </c>
      <c r="B28" s="11" t="s">
        <v>115</v>
      </c>
      <c r="C28" s="11" t="s">
        <v>116</v>
      </c>
      <c r="E28" s="11" t="s">
        <v>79</v>
      </c>
      <c r="F28" s="11" t="s">
        <v>80</v>
      </c>
      <c r="G28" s="11" t="s">
        <v>117</v>
      </c>
      <c r="H28" s="11">
        <f>CEILING(BoardQty*2.0,1)</f>
        <v>200</v>
      </c>
      <c r="I28" s="12">
        <f>IF(MIN(M28,S28)&lt;&gt;0,MIN(M28,S28),"")</f>
        <v>0.007</v>
      </c>
      <c r="J28" s="13">
        <f>IF(AND(ISNUMBER(H28),ISNUMBER(I28)),H28*I28,"")</f>
        <v>1.4</v>
      </c>
      <c r="K28" s="11">
        <v>4106767</v>
      </c>
      <c r="L28" s="11"/>
      <c r="M28" s="12">
        <f>IFERROR(IF(OR(L28&gt;=N28,H28&gt;=N28),LOOKUP(IF(L28="",H28,L28),{0,1,10,25,50,100,250,500,1000,5000},{0.0,0.1,0.029,0.0212,0.0162,0.0119,0.00908,0.00728,0.00535,0.00384}),"MOQ="&amp;N28),"")</f>
        <v>0.0119</v>
      </c>
      <c r="N28" s="11">
        <v>1</v>
      </c>
      <c r="O28" s="13">
        <f>IFERROR(IF(L28="",H28,L28)*M28,"")</f>
        <v>2.38</v>
      </c>
      <c r="P28" s="11" t="s">
        <v>207</v>
      </c>
      <c r="Q28" s="11">
        <v>2852273</v>
      </c>
      <c r="R28" s="11"/>
      <c r="S28" s="12">
        <f>IFERROR(IF(OR(R28&gt;=T28,H28&gt;=T28),LOOKUP(IF(R28="",H28,R28),{0,1,10,100,2500,15000},{0.0,0.1,0.016,0.007,0.005,0.003}),"MOQ="&amp;T28),"")</f>
        <v>0.007</v>
      </c>
      <c r="T28" s="11">
        <v>1</v>
      </c>
      <c r="U28" s="13">
        <f>IFERROR(IF(R28="",H28,R28)*S28,"")</f>
        <v>1.4</v>
      </c>
      <c r="V28" s="11" t="s">
        <v>240</v>
      </c>
    </row>
    <row r="29" spans="1:22">
      <c r="A29" s="11" t="s">
        <v>118</v>
      </c>
      <c r="B29" s="11" t="s">
        <v>119</v>
      </c>
      <c r="C29" s="11" t="s">
        <v>120</v>
      </c>
      <c r="E29" s="11" t="s">
        <v>79</v>
      </c>
      <c r="F29" s="11" t="s">
        <v>80</v>
      </c>
      <c r="G29" s="11" t="s">
        <v>121</v>
      </c>
      <c r="H29" s="11">
        <f>CEILING(BoardQty*1.0,1)</f>
        <v>100</v>
      </c>
      <c r="I29" s="12">
        <f>IF(MIN(M29,S29)&lt;&gt;0,MIN(M29,S29),"")</f>
        <v>0.014</v>
      </c>
      <c r="J29" s="13">
        <f>IF(AND(ISNUMBER(H29),ISNUMBER(I29)),H29*I29,"")</f>
        <v>1.4</v>
      </c>
      <c r="K29" s="11">
        <v>485335</v>
      </c>
      <c r="L29" s="11"/>
      <c r="M29" s="12">
        <f>IFERROR(IF(OR(L29&gt;=N29,H29&gt;=N29),LOOKUP(IF(L29="",H29,L29),{0,1,10,50,100,500,1000,5000},{0.0,0.1,0.035,0.0226,0.019,0.01326,0.01155,0.0086}),"MOQ="&amp;N29),"")</f>
        <v>0.019</v>
      </c>
      <c r="N29" s="11">
        <v>1</v>
      </c>
      <c r="O29" s="13">
        <f>IFERROR(IF(L29="",H29,L29)*M29,"")</f>
        <v>1.9</v>
      </c>
      <c r="P29" s="11" t="s">
        <v>208</v>
      </c>
      <c r="Q29" s="11">
        <v>180139</v>
      </c>
      <c r="R29" s="11"/>
      <c r="S29" s="12">
        <f>IFERROR(IF(OR(R29&gt;=T29,H29&gt;=T29),LOOKUP(IF(R29="",H29,R29),{0,1,10,100,1000,2500,10000,15000},{0.0,0.1,0.022,0.014,0.01,0.009,0.007,0.005}),"MOQ="&amp;T29),"")</f>
        <v>0.014</v>
      </c>
      <c r="T29" s="11">
        <v>1</v>
      </c>
      <c r="U29" s="13">
        <f>IFERROR(IF(R29="",H29,R29)*S29,"")</f>
        <v>1.4</v>
      </c>
      <c r="V29" s="11" t="s">
        <v>241</v>
      </c>
    </row>
    <row r="30" spans="1:22">
      <c r="A30" s="11" t="s">
        <v>122</v>
      </c>
      <c r="B30" s="11" t="s">
        <v>123</v>
      </c>
      <c r="C30" s="11" t="s">
        <v>124</v>
      </c>
      <c r="E30" s="11" t="s">
        <v>125</v>
      </c>
      <c r="F30" s="11" t="s">
        <v>126</v>
      </c>
      <c r="G30" s="11" t="s">
        <v>123</v>
      </c>
      <c r="H30" s="11">
        <f>CEILING(BoardQty*1.0,1)</f>
        <v>100</v>
      </c>
      <c r="I30" s="12">
        <f>IF(MIN(M30,S30)&lt;&gt;0,MIN(M30,S30),"")</f>
        <v>0.2398</v>
      </c>
      <c r="J30" s="13">
        <f>IF(AND(ISNUMBER(H30),ISNUMBER(I30)),H30*I30,"")</f>
        <v>23.98</v>
      </c>
      <c r="K30" s="11">
        <v>34386</v>
      </c>
      <c r="L30" s="11"/>
      <c r="M30" s="12">
        <f>IFERROR(IF(OR(L30&gt;=N30,H30&gt;=N30),LOOKUP(IF(L30="",H30,L30),{0,1,10,25,100,250,500,1000,2500},{0.0,0.29,0.279,0.2648,0.2398,0.2186,0.2032,0.17334,0.16852}),"MOQ="&amp;N30),"")</f>
        <v>0.2398</v>
      </c>
      <c r="N30" s="11">
        <v>1</v>
      </c>
      <c r="O30" s="13">
        <f>IFERROR(IF(L30="",H30,L30)*M30,"")</f>
        <v>23.98</v>
      </c>
      <c r="P30" s="11" t="s">
        <v>209</v>
      </c>
      <c r="Q30" s="11">
        <v>10460</v>
      </c>
      <c r="R30" s="11"/>
      <c r="S30" s="12">
        <f>IFERROR(IF(OR(R30&gt;=T30,H30&gt;=T30),LOOKUP(IF(R30="",H30,R30),{0,1,10,100,250,500,1000,2500,5000,8500},{0.0,0.29,0.265,0.24,0.219,0.204,0.174,0.169,0.168,0.168}),"MOQ="&amp;T30),"")</f>
        <v>0.24</v>
      </c>
      <c r="T30" s="11">
        <v>1</v>
      </c>
      <c r="U30" s="13">
        <f>IFERROR(IF(R30="",H30,R30)*S30,"")</f>
        <v>24.0</v>
      </c>
      <c r="V30" s="11" t="s">
        <v>242</v>
      </c>
    </row>
    <row r="31" spans="1:22">
      <c r="A31" s="11" t="s">
        <v>127</v>
      </c>
      <c r="B31" s="11" t="s">
        <v>128</v>
      </c>
      <c r="C31" s="11" t="s">
        <v>129</v>
      </c>
      <c r="E31" s="11" t="s">
        <v>130</v>
      </c>
      <c r="F31" s="11" t="s">
        <v>131</v>
      </c>
      <c r="G31" s="11" t="s">
        <v>128</v>
      </c>
      <c r="H31" s="11">
        <f>CEILING(BoardQty*2.0,1)</f>
        <v>200</v>
      </c>
      <c r="I31" s="12">
        <f>IF(MIN(M31,S31)&lt;&gt;0,MIN(M31,S31),"")</f>
        <v>0.118</v>
      </c>
      <c r="J31" s="13">
        <f>IF(AND(ISNUMBER(H31),ISNUMBER(I31)),H31*I31,"")</f>
        <v>23.6</v>
      </c>
      <c r="K31" s="11">
        <v>7412</v>
      </c>
      <c r="L31" s="11"/>
      <c r="M31" s="12">
        <f>IFERROR(IF(OR(L31&gt;=N31,H31&gt;=N31),LOOKUP(IF(L31="",H31,L31),{0,1,10,25,100,250,500,1000},{0.0,0.39,0.291,0.2628,0.1433,0.13856,0.1242,0.09555}),"MOQ="&amp;N31),"")</f>
        <v>0.1433</v>
      </c>
      <c r="N31" s="11">
        <v>1</v>
      </c>
      <c r="O31" s="13">
        <f>IFERROR(IF(L31="",H31,L31)*M31,"")</f>
        <v>28.66</v>
      </c>
      <c r="P31" s="11" t="s">
        <v>210</v>
      </c>
      <c r="Q31" s="11">
        <v>11436</v>
      </c>
      <c r="R31" s="11"/>
      <c r="S31" s="12">
        <f>IFERROR(IF(OR(R31&gt;=T31,H31&gt;=T31),LOOKUP(IF(R31="",H31,R31),{0,1,10,100,1000,5000,10000,25000,50000,100000},{0.0,0.239,0.179,0.118,0.086,0.08,0.074,0.068,0.062,0.061}),"MOQ="&amp;T31),"")</f>
        <v>0.118</v>
      </c>
      <c r="T31" s="11">
        <v>1</v>
      </c>
      <c r="U31" s="13">
        <f>IFERROR(IF(R31="",H31,R31)*S31,"")</f>
        <v>23.6</v>
      </c>
      <c r="V31" s="11" t="s">
        <v>243</v>
      </c>
    </row>
    <row r="32" spans="1:22">
      <c r="A32" s="11" t="s">
        <v>132</v>
      </c>
      <c r="B32" s="11" t="s">
        <v>133</v>
      </c>
      <c r="C32" s="11" t="s">
        <v>134</v>
      </c>
      <c r="E32" s="11" t="s">
        <v>130</v>
      </c>
      <c r="F32" s="11" t="s">
        <v>131</v>
      </c>
      <c r="G32" s="11" t="s">
        <v>133</v>
      </c>
      <c r="H32" s="11">
        <f>CEILING(BoardQty*1.0,1)</f>
        <v>100</v>
      </c>
      <c r="I32" s="12">
        <f>IF(MIN(M32,S32)&lt;&gt;0,MIN(M32,S32),"")</f>
        <v>0.291</v>
      </c>
      <c r="J32" s="13">
        <f>IF(AND(ISNUMBER(H32),ISNUMBER(I32)),H32*I32,"")</f>
        <v>29.1</v>
      </c>
      <c r="K32" s="11">
        <v>12673</v>
      </c>
      <c r="L32" s="11"/>
      <c r="M32" s="12">
        <f>IFERROR(IF(OR(L32&gt;=N32,H32&gt;=N32),LOOKUP(IF(L32="",H32,L32),{0,1,10,25,100,250,500,1000},{0.0,0.58,0.5,0.4668,0.3469,0.29352,0.28018,0.2068}),"MOQ="&amp;N32),"")</f>
        <v>0.3469</v>
      </c>
      <c r="N32" s="11">
        <v>1</v>
      </c>
      <c r="O32" s="13">
        <f>IFERROR(IF(L32="",H32,L32)*M32,"")</f>
        <v>34.69</v>
      </c>
      <c r="P32" s="11" t="s">
        <v>211</v>
      </c>
      <c r="Q32" s="11">
        <v>66705</v>
      </c>
      <c r="R32" s="11"/>
      <c r="S32" s="12">
        <f>IFERROR(IF(OR(R32&gt;=T32,H32&gt;=T32),LOOKUP(IF(R32="",H32,R32),{0,1,10,100,500,1000,5000,10000},{0.0,0.577,0.412,0.291,0.274,0.192,0.179,0.171}),"MOQ="&amp;T32),"")</f>
        <v>0.291</v>
      </c>
      <c r="T32" s="11">
        <v>1</v>
      </c>
      <c r="U32" s="13">
        <f>IFERROR(IF(R32="",H32,R32)*S32,"")</f>
        <v>29.1</v>
      </c>
      <c r="V32" s="11" t="s">
        <v>244</v>
      </c>
    </row>
    <row r="33" spans="1:22">
      <c r="A33" s="11" t="s">
        <v>135</v>
      </c>
      <c r="B33" s="11" t="s">
        <v>136</v>
      </c>
      <c r="C33" s="11" t="s">
        <v>137</v>
      </c>
      <c r="E33" s="11" t="s">
        <v>138</v>
      </c>
      <c r="F33" s="11" t="s">
        <v>139</v>
      </c>
      <c r="G33" s="11" t="s">
        <v>136</v>
      </c>
      <c r="H33" s="11">
        <f>CEILING(BoardQty*1.0,1)</f>
        <v>100</v>
      </c>
      <c r="I33" s="12">
        <f>IF(MIN(M33,S33)&lt;&gt;0,MIN(M33,S33),"")</f>
        <v>0.458</v>
      </c>
      <c r="J33" s="13">
        <f>IF(AND(ISNUMBER(H33),ISNUMBER(I33)),H33*I33,"")</f>
        <v>45.8</v>
      </c>
      <c r="K33" s="11">
        <v>15041</v>
      </c>
      <c r="L33" s="11"/>
      <c r="M33" s="12">
        <f>IFERROR(IF(OR(L33&gt;=N33,H33&gt;=N33),LOOKUP(IF(L33="",H33,L33),{0,1,10,25,100,250,500,1000},{0.0,0.68,0.6,0.5636,0.46,0.42724,0.3636,0.29088}),"MOQ="&amp;N33),"")</f>
        <v>0.46</v>
      </c>
      <c r="N33" s="11">
        <v>1</v>
      </c>
      <c r="O33" s="13">
        <f>IFERROR(IF(L33="",H33,L33)*M33,"")</f>
        <v>46.0</v>
      </c>
      <c r="P33" s="11" t="s">
        <v>212</v>
      </c>
      <c r="Q33" s="11">
        <v>1147</v>
      </c>
      <c r="R33" s="11"/>
      <c r="S33" s="12">
        <f>IFERROR(IF(OR(R33&gt;=T33,H33&gt;=T33),LOOKUP(IF(R33="",H33,R33),{0,1,10,100,500,1000,2000,4000,8000,24000},{0.0,0.697,0.597,0.458,0.369,0.295,0.275,0.244,0.234,0.232}),"MOQ="&amp;T33),"")</f>
        <v>0.458</v>
      </c>
      <c r="T33" s="11">
        <v>1</v>
      </c>
      <c r="U33" s="13">
        <f>IFERROR(IF(R33="",H33,R33)*S33,"")</f>
        <v>45.8</v>
      </c>
      <c r="V33" s="11" t="s">
        <v>245</v>
      </c>
    </row>
    <row r="34" spans="1:22" ht="30" customHeight="1">
      <c r="A34" s="11" t="s">
        <v>140</v>
      </c>
      <c r="B34" s="11" t="s">
        <v>141</v>
      </c>
      <c r="C34" s="11" t="s">
        <v>142</v>
      </c>
      <c r="D34" s="11" t="s">
        <v>143</v>
      </c>
      <c r="E34" s="11" t="s">
        <v>144</v>
      </c>
      <c r="F34" s="11" t="s">
        <v>139</v>
      </c>
      <c r="G34" s="11" t="s">
        <v>145</v>
      </c>
      <c r="H34" s="11">
        <f>CEILING(BoardQty*1.0,1)</f>
        <v>100</v>
      </c>
      <c r="I34" s="12">
        <f>IF(MIN(M34,S34)&lt;&gt;0,MIN(M34,S34),"")</f>
        <v>1.35</v>
      </c>
      <c r="J34" s="13">
        <f>IF(AND(ISNUMBER(H34),ISNUMBER(I34)),H34*I34,"")</f>
        <v>135.0</v>
      </c>
      <c r="K34" s="11">
        <v>2945</v>
      </c>
      <c r="L34" s="11"/>
      <c r="M34" s="12">
        <f>IFERROR(IF(OR(L34&gt;=N34,H34&gt;=N34),LOOKUP(IF(L34="",H34,L34),{0,1,10,25,100,250,500,1000},{0.0,1.87,1.68,1.5848,1.3502,1.26776,1.10928,0.91913}),"MOQ="&amp;N34),"")</f>
        <v>1.3502</v>
      </c>
      <c r="N34" s="11">
        <v>1</v>
      </c>
      <c r="O34" s="13">
        <f>IFERROR(IF(L34="",H34,L34)*M34,"")</f>
        <v>135.02</v>
      </c>
      <c r="P34" s="11" t="s">
        <v>213</v>
      </c>
      <c r="Q34" s="11">
        <v>1594</v>
      </c>
      <c r="R34" s="11"/>
      <c r="S34" s="12">
        <f>IFERROR(IF(OR(R34&gt;=T34,H34&gt;=T34),LOOKUP(IF(R34="",H34,R34),{0,1,10,25,100,250,500,1000,2000},{0.0,1.87,1.68,1.59,1.35,1.27,1.11,0.92,0.92}),"MOQ="&amp;T34),"")</f>
        <v>1.35</v>
      </c>
      <c r="T34" s="11">
        <v>1</v>
      </c>
      <c r="U34" s="13">
        <f>IFERROR(IF(R34="",H34,R34)*S34,"")</f>
        <v>135.0</v>
      </c>
      <c r="V34" s="11" t="s">
        <v>246</v>
      </c>
    </row>
    <row r="35" spans="1:22" ht="30" customHeight="1">
      <c r="A35" s="11" t="s">
        <v>146</v>
      </c>
      <c r="B35" s="11" t="s">
        <v>147</v>
      </c>
      <c r="C35" s="11" t="s">
        <v>148</v>
      </c>
      <c r="D35" s="11" t="s">
        <v>149</v>
      </c>
      <c r="E35" s="11" t="s">
        <v>150</v>
      </c>
      <c r="F35" s="11" t="s">
        <v>151</v>
      </c>
      <c r="G35" s="11" t="s">
        <v>147</v>
      </c>
      <c r="H35" s="11">
        <f>CEILING(BoardQty*1.0,1)</f>
        <v>100</v>
      </c>
      <c r="I35" s="12">
        <f>IF(MIN(M35,S35)&lt;&gt;0,MIN(M35,S35),"")</f>
        <v>4.12</v>
      </c>
      <c r="J35" s="13">
        <f>IF(AND(ISNUMBER(H35),ISNUMBER(I35)),H35*I35,"")</f>
        <v>412.0</v>
      </c>
      <c r="K35" s="11">
        <v>21164</v>
      </c>
      <c r="L35" s="11"/>
      <c r="M35" s="12">
        <f>IFERROR(IF(OR(L35&gt;=N35,H35&gt;=N35),LOOKUP(IF(L35="",H35,L35),{0,1,10,25,80,230,440,945},{0.0,5.6,5.029,4.7544,4.12038,3.90909,3.50761,3.34058}),"MOQ="&amp;N35),"")</f>
        <v>4.12038</v>
      </c>
      <c r="N35" s="11">
        <v>1</v>
      </c>
      <c r="O35" s="13">
        <f>IFERROR(IF(L35="",H35,L35)*M35,"")</f>
        <v>412.038</v>
      </c>
      <c r="P35" s="11" t="s">
        <v>214</v>
      </c>
      <c r="Q35" s="11">
        <v>45668</v>
      </c>
      <c r="R35" s="11"/>
      <c r="S35" s="12">
        <f>IFERROR(IF(OR(R35&gt;=T35,H35&gt;=T35),LOOKUP(IF(R35="",H35,R35),{0,1,10,25,100,250,490,980,2940},{0.0,5.59,5.02,4.75,4.12,3.9,3.5,3.34,3.21}),"MOQ="&amp;T35),"")</f>
        <v>4.12</v>
      </c>
      <c r="T35" s="11">
        <v>1</v>
      </c>
      <c r="U35" s="13">
        <f>IFERROR(IF(R35="",H35,R35)*S35,"")</f>
        <v>412.0</v>
      </c>
      <c r="V35" s="11" t="s">
        <v>247</v>
      </c>
    </row>
    <row r="36" spans="1:22" ht="30" customHeight="1">
      <c r="A36" s="11" t="s">
        <v>152</v>
      </c>
      <c r="B36" s="11" t="s">
        <v>153</v>
      </c>
      <c r="C36" s="11" t="s">
        <v>154</v>
      </c>
      <c r="E36" s="11" t="s">
        <v>155</v>
      </c>
      <c r="F36" s="11" t="s">
        <v>131</v>
      </c>
      <c r="G36" s="11" t="s">
        <v>156</v>
      </c>
      <c r="H36" s="11">
        <f>CEILING(BoardQty*1.0,1)</f>
        <v>100</v>
      </c>
      <c r="I36" s="12">
        <f>IF(MIN(M36,S36)&lt;&gt;0,MIN(M36,S36),"")</f>
        <v>0.305</v>
      </c>
      <c r="J36" s="13">
        <f>IF(AND(ISNUMBER(H36),ISNUMBER(I36)),H36*I36,"")</f>
        <v>30.5</v>
      </c>
      <c r="K36" s="11">
        <v>137050</v>
      </c>
      <c r="L36" s="11"/>
      <c r="M36" s="12">
        <f>IFERROR(IF(OR(L36&gt;=N36,H36&gt;=N36),LOOKUP(IF(L36="",H36,L36),{0,1,10,25,50,100,250,500,1000},{0.0,0.43,0.412,0.3992,0.3858,0.3658,0.30592,0.23744,0.22613}),"MOQ="&amp;N36),"")</f>
        <v>0.3658</v>
      </c>
      <c r="N36" s="11">
        <v>1</v>
      </c>
      <c r="O36" s="13">
        <f>IFERROR(IF(L36="",H36,L36)*M36,"")</f>
        <v>36.58</v>
      </c>
      <c r="P36" s="11" t="s">
        <v>215</v>
      </c>
      <c r="Q36" s="11">
        <v>41106</v>
      </c>
      <c r="R36" s="11"/>
      <c r="S36" s="12">
        <f>IFERROR(IF(OR(R36&gt;=T36,H36&gt;=T36),LOOKUP(IF(R36="",H36,R36),{0,1,10,100,500,1000,4000,8000},{0.0,0.428,0.384,0.305,0.234,0.22,0.208,0.188}),"MOQ="&amp;T36),"")</f>
        <v>0.305</v>
      </c>
      <c r="T36" s="11">
        <v>1</v>
      </c>
      <c r="U36" s="13">
        <f>IFERROR(IF(R36="",H36,R36)*S36,"")</f>
        <v>30.5</v>
      </c>
      <c r="V36" s="11" t="s">
        <v>248</v>
      </c>
    </row>
    <row r="37" spans="1:22">
      <c r="A37" s="11" t="s">
        <v>157</v>
      </c>
      <c r="B37" s="11" t="s">
        <v>158</v>
      </c>
      <c r="C37" s="11" t="s">
        <v>159</v>
      </c>
      <c r="E37" s="11" t="s">
        <v>160</v>
      </c>
      <c r="F37" s="11" t="s">
        <v>161</v>
      </c>
      <c r="G37" s="11" t="s">
        <v>158</v>
      </c>
      <c r="H37" s="11">
        <f>CEILING(BoardQty*1.0,1)</f>
        <v>100</v>
      </c>
      <c r="I37" s="12">
        <f>IF(MIN(M37,S37)&lt;&gt;0,MIN(M37,S37),"")</f>
        <v>0.617</v>
      </c>
      <c r="J37" s="13">
        <f>IF(AND(ISNUMBER(H37),ISNUMBER(I37)),H37*I37,"")</f>
        <v>61.7</v>
      </c>
      <c r="K37" s="11">
        <v>97769</v>
      </c>
      <c r="L37" s="11"/>
      <c r="M37" s="12">
        <f>IFERROR(IF(OR(L37&gt;=N37,H37&gt;=N37),LOOKUP(IF(L37="",H37,L37),{0,1,25,100},{0.0,0.82,0.69,0.62}),"MOQ="&amp;N37),"")</f>
        <v>0.62</v>
      </c>
      <c r="N37" s="11">
        <v>1</v>
      </c>
      <c r="O37" s="13">
        <f>IFERROR(IF(L37="",H37,L37)*M37,"")</f>
        <v>62.0</v>
      </c>
      <c r="P37" s="11" t="s">
        <v>216</v>
      </c>
      <c r="Q37" s="11">
        <v>114627</v>
      </c>
      <c r="R37" s="11"/>
      <c r="S37" s="12">
        <f>IFERROR(IF(OR(R37&gt;=T37,H37&gt;=T37),LOOKUP(IF(R37="",H37,R37),{0,1,10,25,100,3000,9000},{0.0,0.816,0.798,0.687,0.617,0.617,0.607}),"MOQ="&amp;T37),"")</f>
        <v>0.617</v>
      </c>
      <c r="T37" s="11">
        <v>1</v>
      </c>
      <c r="U37" s="13">
        <f>IFERROR(IF(R37="",H37,R37)*S37,"")</f>
        <v>61.7</v>
      </c>
      <c r="V37" s="11" t="s">
        <v>249</v>
      </c>
    </row>
    <row r="38" spans="1:22" ht="30" customHeight="1">
      <c r="A38" s="11" t="s">
        <v>162</v>
      </c>
      <c r="B38" s="11" t="s">
        <v>163</v>
      </c>
      <c r="C38" s="11" t="s">
        <v>164</v>
      </c>
      <c r="D38" s="11" t="s">
        <v>165</v>
      </c>
      <c r="E38" s="11" t="s">
        <v>166</v>
      </c>
      <c r="F38" s="11" t="s">
        <v>167</v>
      </c>
      <c r="G38" s="11" t="s">
        <v>168</v>
      </c>
      <c r="H38" s="11">
        <f>CEILING(BoardQty*1.0,1)</f>
        <v>100</v>
      </c>
      <c r="I38" s="12">
        <f>IF(MIN(M38,S38)&lt;&gt;0,MIN(M38,S38),"")</f>
        <v>1.16</v>
      </c>
      <c r="J38" s="13">
        <f>IF(AND(ISNUMBER(H38),ISNUMBER(I38)),H38*I38,"")</f>
        <v>116.0</v>
      </c>
      <c r="Q38" s="11">
        <v>19998</v>
      </c>
      <c r="R38" s="11"/>
      <c r="S38" s="12">
        <f>IFERROR(IF(OR(R38&gt;=T38,H38&gt;=T38),LOOKUP(IF(R38="",H38,R38),{0,1,10,100,500,3000},{0.0,1.46,1.34,1.16,1.14,0.969}),"MOQ="&amp;T38),"")</f>
        <v>1.16</v>
      </c>
      <c r="T38" s="11">
        <v>1</v>
      </c>
      <c r="U38" s="13">
        <f>IFERROR(IF(R38="",H38,R38)*S38,"")</f>
        <v>116.0</v>
      </c>
      <c r="V38" s="11" t="s">
        <v>250</v>
      </c>
    </row>
    <row r="39" spans="1:22" ht="30" customHeight="1">
      <c r="A39" s="11" t="s">
        <v>169</v>
      </c>
      <c r="B39" s="11" t="s">
        <v>170</v>
      </c>
      <c r="C39" s="11" t="s">
        <v>171</v>
      </c>
      <c r="D39" s="11" t="s">
        <v>172</v>
      </c>
      <c r="E39" s="11" t="s">
        <v>173</v>
      </c>
      <c r="F39" s="11" t="s">
        <v>174</v>
      </c>
      <c r="G39" s="11" t="s">
        <v>170</v>
      </c>
      <c r="H39" s="11">
        <f>CEILING(BoardQty*1.0,1)</f>
        <v>100</v>
      </c>
      <c r="I39" s="12">
        <f>IF(MIN(M39,S39)&lt;&gt;0,MIN(M39,S39),"")</f>
        <v>1.39</v>
      </c>
      <c r="J39" s="13">
        <f>IF(AND(ISNUMBER(H39),ISNUMBER(I39)),H39*I39,"")</f>
        <v>139.0</v>
      </c>
      <c r="K39" s="11">
        <v>3456</v>
      </c>
      <c r="L39" s="11"/>
      <c r="M39" s="12">
        <f>IFERROR(IF(OR(L39&gt;=N39,H39&gt;=N39),LOOKUP(IF(L39="",H39,L39),{0,1,10,25,50,100,250,500,1000,5000},{0.0,1.76,1.608,1.5644,1.5564,1.3913,1.38724,1.3663,1.30829,1.21807}),"MOQ="&amp;N39),"")</f>
        <v>1.3913</v>
      </c>
      <c r="N39" s="11">
        <v>1</v>
      </c>
      <c r="O39" s="13">
        <f>IFERROR(IF(L39="",H39,L39)*M39,"")</f>
        <v>139.13</v>
      </c>
      <c r="P39" s="11" t="s">
        <v>217</v>
      </c>
      <c r="Q39" s="11">
        <v>5182</v>
      </c>
      <c r="R39" s="11"/>
      <c r="S39" s="12">
        <f>IFERROR(IF(OR(R39&gt;=T39,H39&gt;=T39),LOOKUP(IF(R39="",H39,R39),{0,1,10,100,400,1200,2800,5200,10000},{0.0,1.76,1.61,1.39,1.36,1.3,1.25,1.21,1.13}),"MOQ="&amp;T39),"")</f>
        <v>1.39</v>
      </c>
      <c r="T39" s="11">
        <v>1</v>
      </c>
      <c r="U39" s="13">
        <f>IFERROR(IF(R39="",H39,R39)*S39,"")</f>
        <v>139.0</v>
      </c>
      <c r="V39" s="11" t="s">
        <v>251</v>
      </c>
    </row>
    <row r="40" spans="1:22" ht="30" customHeight="1">
      <c r="A40" s="11" t="s">
        <v>175</v>
      </c>
      <c r="B40" s="11" t="s">
        <v>176</v>
      </c>
      <c r="C40" s="11" t="s">
        <v>177</v>
      </c>
      <c r="E40" s="11" t="s">
        <v>178</v>
      </c>
      <c r="F40" s="11" t="s">
        <v>179</v>
      </c>
      <c r="G40" s="11" t="s">
        <v>176</v>
      </c>
      <c r="H40" s="11">
        <f>CEILING(BoardQty*1.0,1)</f>
        <v>100</v>
      </c>
      <c r="I40" s="12">
        <f>IF(MIN(M40,S40)&lt;&gt;0,MIN(M40,S40),"")</f>
        <v>8.45</v>
      </c>
      <c r="J40" s="13">
        <f>IF(AND(ISNUMBER(H40),ISNUMBER(I40)),H40*I40,"")</f>
        <v>845.0</v>
      </c>
      <c r="K40" s="14" t="s">
        <v>219</v>
      </c>
      <c r="L40" s="11"/>
      <c r="M40" s="12">
        <f>IFERROR(IF(OR(L40&gt;=N40,H40&gt;=N40),LOOKUP(IF(L40="",H40,L40),{0,1,25,100},{0.0,10.1,8.8,8.45}),"MOQ="&amp;N40),"")</f>
        <v>8.45</v>
      </c>
      <c r="N40" s="11">
        <v>1</v>
      </c>
      <c r="O40" s="13">
        <f>IFERROR(IF(L40="",H40,L40)*M40,"")</f>
        <v>845.0</v>
      </c>
      <c r="P40" s="11" t="s">
        <v>218</v>
      </c>
      <c r="Q40" s="11">
        <v>12647</v>
      </c>
      <c r="R40" s="11"/>
      <c r="S40" s="12">
        <f>IFERROR(IF(OR(R40&gt;=T40,H40&gt;=T40),LOOKUP(IF(R40="",H40,R40),{0,1,25,100,2000},{0.0,10.17,8.85,8.5,8.5}),"MOQ="&amp;T40),"")</f>
        <v>8.5</v>
      </c>
      <c r="T40" s="11">
        <v>1</v>
      </c>
      <c r="U40" s="13">
        <f>IFERROR(IF(R40="",H40,R40)*S40,"")</f>
        <v>850.0</v>
      </c>
      <c r="V40" s="11" t="s">
        <v>252</v>
      </c>
    </row>
    <row r="41" spans="1:22" ht="30" customHeight="1">
      <c r="A41" s="11" t="s">
        <v>180</v>
      </c>
      <c r="B41" s="11" t="s">
        <v>181</v>
      </c>
      <c r="C41" s="11" t="s">
        <v>182</v>
      </c>
      <c r="D41" s="11" t="s">
        <v>183</v>
      </c>
      <c r="E41" s="11" t="s">
        <v>184</v>
      </c>
      <c r="F41" s="11" t="s">
        <v>185</v>
      </c>
      <c r="G41" s="11" t="s">
        <v>181</v>
      </c>
      <c r="H41" s="11">
        <f>CEILING(BoardQty*1.0,1)</f>
        <v>100</v>
      </c>
      <c r="I41" s="12">
        <f>IF(MIN(M41,S41)&lt;&gt;0,MIN(M41,S41),"")</f>
        <v>1.3095</v>
      </c>
      <c r="J41" s="13">
        <f>IF(AND(ISNUMBER(H41),ISNUMBER(I41)),H41*I41,"")</f>
        <v>130.95</v>
      </c>
      <c r="K41" s="11">
        <v>11368</v>
      </c>
      <c r="L41" s="11"/>
      <c r="M41" s="12">
        <f>IFERROR(IF(OR(L41&gt;=N41,H41&gt;=N41),LOOKUP(IF(L41="",H41,L41),{0,1,10,50,100,500,1000},{0.0,1.64,1.564,1.5278,1.3095,1.27312,1.07306}),"MOQ="&amp;N41),"")</f>
        <v>1.3095</v>
      </c>
      <c r="N41" s="11">
        <v>1</v>
      </c>
      <c r="O41" s="13">
        <f>IFERROR(IF(L41="",H41,L41)*M41,"")</f>
        <v>130.95</v>
      </c>
      <c r="P41" s="11" t="s">
        <v>220</v>
      </c>
      <c r="Q41" s="11">
        <v>4318</v>
      </c>
      <c r="R41" s="11"/>
      <c r="S41" s="12">
        <f>IFERROR(IF(OR(R41&gt;=T41,H41&gt;=T41),LOOKUP(IF(R41="",H41,R41),{0,1,10,50,100,1000,3000},{0.0,1.64,1.56,1.52,1.31,1.29,1.29}),"MOQ="&amp;T41),"")</f>
        <v>1.31</v>
      </c>
      <c r="T41" s="11">
        <v>1</v>
      </c>
      <c r="U41" s="13">
        <f>IFERROR(IF(R41="",H41,R41)*S41,"")</f>
        <v>131.0</v>
      </c>
      <c r="V41" s="11" t="s">
        <v>253</v>
      </c>
    </row>
    <row r="43" spans="1:22">
      <c r="I43" s="1" t="s">
        <v>254</v>
      </c>
      <c r="J43" s="5">
        <f>SUM(O43,U43)</f>
        <v>0</v>
      </c>
      <c r="K43" s="15" t="s">
        <v>221</v>
      </c>
      <c r="L43" s="6">
        <f>IFERROR(IF(COUNTIF(L7:L41,"&gt;0")&gt;0,COUNTIF(L7:L41,"&gt;0")&amp;" of "&amp;(ROWS(N7:N41)-COUNTBLANK(N7:N41))&amp;" parts purchased",""),"")</f>
        <v/>
      </c>
      <c r="O43" s="5">
        <f>SUMIF(L7:L41,"&gt;0",O7:O41)</f>
        <v>0</v>
      </c>
      <c r="Q43" s="15" t="s">
        <v>221</v>
      </c>
      <c r="R43" s="6">
        <f>IFERROR(IF(COUNTIF(R7:R41,"&gt;0")&gt;0,COUNTIF(R7:R41,"&gt;0")&amp;" of "&amp;(ROWS(T7:T41)-COUNTBLANK(T7:T41))&amp;" parts purchased",""),"")</f>
        <v/>
      </c>
      <c r="U43" s="5">
        <f>SUMIF(R7:R41,"&gt;0",U7:U41)</f>
        <v>0</v>
      </c>
    </row>
    <row r="44" spans="1:22">
      <c r="A44" s="2" t="s">
        <v>267</v>
      </c>
      <c r="I44" s="16" t="s">
        <v>255</v>
      </c>
      <c r="L44" s="17">
        <f>CONCATENATE(L80,L81,L82,L83,L84,L85,L86,L87,L88,L89,L90,L91,L92,L93,L94,L95,L96,L97,L98,L99,L100,L101,L102,L103,L104,L105,L106,L107,L108,L109,L110,L111,L112,L113,L114)</f>
        <v/>
      </c>
      <c r="R44" s="17">
        <f>CONCATENATE(R80,R81,R82,R83,R84,R85,R86,R87,R88,R89,R90,R91,R92,R93,R94,R95,R96,R97,R98,R99,R100,R101,R102,R103,R104,R105,R106,R107,R108,R109,R110,R111,R112,R113,R114)</f>
        <v/>
      </c>
    </row>
    <row r="80" spans="12:18" ht="30" hidden="1" customHeight="1">
      <c r="L80" t="str">
        <f t="array" ref="L80:L114">IF(ISNUMBER(L7:L41)*(L7:L41&gt;=N7:N41)*(P7:P41&lt;&gt;""),TEXT(ROUNDUP(L7:L41/IF(ISNUMBER(N7:N41),N7:N41,1),0)*N7:N41,"##0")&amp;","&amp;P7:P41&amp;","&amp;SUBSTITUTE(SUBSTITUTE(IF(PURCHASE_DESCRIPTION&lt;&gt;"",PURCHASE_DESCRIPTION&amp;":","")&amp;A7:A41,",",";"),"
"," ")&amp;CHAR(10),"")</f>
        <v/>
      </c>
      <c r="R80" t="str">
        <f t="array" ref="R80:R114">IF(ISNUMBER(R7:R41)*(R7:R41&gt;=T7:T41)*(V7:V41&lt;&gt;""),V7:V41&amp;"|"&amp;TEXT(ROUNDUP(R7:R41/IF(ISNUMBER(T7:T41),T7:T41,1),0)*T7:T41,"##0")&amp;"|"&amp;SUBSTITUTE(SUBSTITUTE(SUBSTITUTE(IF(PURCHASE_DESCRIPTION&lt;&gt;"",PURCHASE_DESCRIPTION&amp;":","")&amp;A7:A41,"|",";")," ","_"),"
","_")&amp;CHAR(10),"")</f>
        <v/>
      </c>
    </row>
    <row r="81" spans="12:18" ht="30" hidden="1" customHeight="1">
      <c r="L81">
        <v>0</v>
      </c>
      <c r="R81">
        <v>0</v>
      </c>
    </row>
    <row r="82" spans="12:18" ht="30" hidden="1" customHeight="1">
      <c r="L82">
        <v>0</v>
      </c>
      <c r="R82">
        <v>0</v>
      </c>
    </row>
    <row r="83" spans="12:18" ht="30" hidden="1" customHeight="1">
      <c r="L83">
        <v>0</v>
      </c>
      <c r="R83">
        <v>0</v>
      </c>
    </row>
    <row r="84" spans="12:18" ht="30" hidden="1" customHeight="1">
      <c r="L84">
        <v>0</v>
      </c>
      <c r="R84">
        <v>0</v>
      </c>
    </row>
    <row r="85" spans="12:18" ht="30" hidden="1" customHeight="1">
      <c r="L85">
        <v>0</v>
      </c>
      <c r="R85">
        <v>0</v>
      </c>
    </row>
    <row r="86" spans="12:18" ht="30" hidden="1" customHeight="1">
      <c r="L86">
        <v>0</v>
      </c>
      <c r="R86">
        <v>0</v>
      </c>
    </row>
    <row r="87" spans="12:18" ht="30" hidden="1" customHeight="1">
      <c r="L87">
        <v>0</v>
      </c>
      <c r="R87">
        <v>0</v>
      </c>
    </row>
    <row r="88" spans="12:18" ht="30" hidden="1" customHeight="1">
      <c r="L88">
        <v>0</v>
      </c>
      <c r="R88">
        <v>0</v>
      </c>
    </row>
    <row r="89" spans="12:18" ht="30" hidden="1" customHeight="1">
      <c r="L89">
        <v>0</v>
      </c>
      <c r="R89">
        <v>0</v>
      </c>
    </row>
    <row r="90" spans="12:18" ht="30" hidden="1" customHeight="1">
      <c r="L90">
        <v>0</v>
      </c>
      <c r="R90">
        <v>0</v>
      </c>
    </row>
    <row r="91" spans="12:18" ht="30" hidden="1" customHeight="1">
      <c r="L91">
        <v>0</v>
      </c>
      <c r="R91">
        <v>0</v>
      </c>
    </row>
    <row r="92" spans="12:18" ht="30" hidden="1" customHeight="1">
      <c r="L92">
        <v>0</v>
      </c>
      <c r="R92">
        <v>0</v>
      </c>
    </row>
    <row r="93" spans="12:18" ht="30" hidden="1" customHeight="1">
      <c r="L93">
        <v>0</v>
      </c>
      <c r="R93">
        <v>0</v>
      </c>
    </row>
    <row r="94" spans="12:18" ht="30" hidden="1" customHeight="1">
      <c r="L94">
        <v>0</v>
      </c>
      <c r="R94">
        <v>0</v>
      </c>
    </row>
    <row r="95" spans="12:18" ht="30" hidden="1" customHeight="1">
      <c r="L95">
        <v>0</v>
      </c>
      <c r="R95">
        <v>0</v>
      </c>
    </row>
    <row r="96" spans="12:18" ht="30" hidden="1" customHeight="1">
      <c r="L96">
        <v>0</v>
      </c>
      <c r="R96">
        <v>0</v>
      </c>
    </row>
    <row r="97" spans="12:18" ht="30" hidden="1" customHeight="1">
      <c r="L97">
        <v>0</v>
      </c>
      <c r="R97">
        <v>0</v>
      </c>
    </row>
    <row r="98" spans="12:18" ht="30" hidden="1" customHeight="1">
      <c r="L98">
        <v>0</v>
      </c>
      <c r="R98">
        <v>0</v>
      </c>
    </row>
    <row r="99" spans="12:18" ht="30" hidden="1" customHeight="1">
      <c r="L99">
        <v>0</v>
      </c>
      <c r="R99">
        <v>0</v>
      </c>
    </row>
    <row r="100" spans="12:18" ht="30" hidden="1" customHeight="1">
      <c r="L100">
        <v>0</v>
      </c>
      <c r="R100">
        <v>0</v>
      </c>
    </row>
    <row r="101" spans="12:18" ht="30" hidden="1" customHeight="1">
      <c r="L101">
        <v>0</v>
      </c>
      <c r="R101">
        <v>0</v>
      </c>
    </row>
    <row r="102" spans="12:18" ht="30" hidden="1" customHeight="1">
      <c r="L102">
        <v>0</v>
      </c>
      <c r="R102">
        <v>0</v>
      </c>
    </row>
    <row r="103" spans="12:18" ht="30" hidden="1" customHeight="1">
      <c r="L103">
        <v>0</v>
      </c>
      <c r="R103">
        <v>0</v>
      </c>
    </row>
    <row r="104" spans="12:18" ht="30" hidden="1" customHeight="1">
      <c r="L104">
        <v>0</v>
      </c>
      <c r="R104">
        <v>0</v>
      </c>
    </row>
    <row r="105" spans="12:18" ht="30" hidden="1" customHeight="1">
      <c r="L105">
        <v>0</v>
      </c>
      <c r="R105">
        <v>0</v>
      </c>
    </row>
    <row r="106" spans="12:18" ht="30" hidden="1" customHeight="1">
      <c r="L106">
        <v>0</v>
      </c>
      <c r="R106">
        <v>0</v>
      </c>
    </row>
    <row r="107" spans="12:18" ht="30" hidden="1" customHeight="1">
      <c r="L107">
        <v>0</v>
      </c>
      <c r="R107">
        <v>0</v>
      </c>
    </row>
    <row r="108" spans="12:18" ht="30" hidden="1" customHeight="1">
      <c r="L108">
        <v>0</v>
      </c>
      <c r="R108">
        <v>0</v>
      </c>
    </row>
    <row r="109" spans="12:18" ht="30" hidden="1" customHeight="1">
      <c r="L109">
        <v>0</v>
      </c>
      <c r="R109">
        <v>0</v>
      </c>
    </row>
    <row r="110" spans="12:18" ht="30" hidden="1" customHeight="1">
      <c r="L110">
        <v>0</v>
      </c>
      <c r="R110">
        <v>0</v>
      </c>
    </row>
    <row r="111" spans="12:18" ht="30" hidden="1" customHeight="1">
      <c r="L111">
        <v>0</v>
      </c>
      <c r="R111">
        <v>0</v>
      </c>
    </row>
    <row r="112" spans="12:18" ht="30" hidden="1" customHeight="1">
      <c r="L112">
        <v>0</v>
      </c>
      <c r="R112">
        <v>0</v>
      </c>
    </row>
    <row r="113" spans="12:18" ht="30" hidden="1" customHeight="1">
      <c r="L113">
        <v>0</v>
      </c>
      <c r="R113">
        <v>0</v>
      </c>
    </row>
    <row r="114" spans="12:18" ht="30" hidden="1" customHeight="1">
      <c r="L114">
        <v>0</v>
      </c>
      <c r="R114">
        <v>0</v>
      </c>
    </row>
  </sheetData>
  <mergeCells count="5">
    <mergeCell ref="A5:J5"/>
    <mergeCell ref="K5:P5"/>
    <mergeCell ref="L44:O79"/>
    <mergeCell ref="Q5:V5"/>
    <mergeCell ref="R44:U79"/>
  </mergeCells>
  <conditionalFormatting sqref="H10">
    <cfRule type="expression" dxfId="4" priority="257">
      <formula>AND(ISBLANK(G10),ISBLANK(O10),ISBLANK(U10))</formula>
    </cfRule>
    <cfRule type="expression" dxfId="1" priority="258">
      <formula>IF(SUM(K10,Q10)=0,1,0)</formula>
    </cfRule>
    <cfRule type="cellIs" dxfId="0" priority="259" operator="greaterThan">
      <formula>SUM(K10,Q10)</formula>
    </cfRule>
    <cfRule type="cellIs" dxfId="3" priority="260" operator="greaterThan">
      <formula>SUM(IF(ISNUMBER(M10),L10,0),IF(ISNUMBER(S10),R10,0))</formula>
    </cfRule>
  </conditionalFormatting>
  <conditionalFormatting sqref="H11">
    <cfRule type="expression" dxfId="4" priority="261">
      <formula>AND(ISBLANK(G11),ISBLANK(O11),ISBLANK(U11))</formula>
    </cfRule>
    <cfRule type="expression" dxfId="1" priority="262">
      <formula>IF(SUM(K11,Q11)=0,1,0)</formula>
    </cfRule>
    <cfRule type="cellIs" dxfId="0" priority="263" operator="greaterThan">
      <formula>SUM(K11,Q11)</formula>
    </cfRule>
    <cfRule type="cellIs" dxfId="3" priority="264" operator="greaterThan">
      <formula>SUM(IF(ISNUMBER(M11),L11,0),IF(ISNUMBER(S11),R11,0))</formula>
    </cfRule>
  </conditionalFormatting>
  <conditionalFormatting sqref="H12">
    <cfRule type="expression" dxfId="4" priority="265">
      <formula>AND(ISBLANK(G12),ISBLANK(O12),ISBLANK(U12))</formula>
    </cfRule>
    <cfRule type="expression" dxfId="1" priority="266">
      <formula>IF(SUM(K12,Q12)=0,1,0)</formula>
    </cfRule>
    <cfRule type="cellIs" dxfId="0" priority="267" operator="greaterThan">
      <formula>SUM(K12,Q12)</formula>
    </cfRule>
    <cfRule type="cellIs" dxfId="3" priority="268" operator="greaterThan">
      <formula>SUM(IF(ISNUMBER(M12),L12,0),IF(ISNUMBER(S12),R12,0))</formula>
    </cfRule>
  </conditionalFormatting>
  <conditionalFormatting sqref="H13">
    <cfRule type="expression" dxfId="4" priority="269">
      <formula>AND(ISBLANK(G13),ISBLANK(O13),ISBLANK(U13))</formula>
    </cfRule>
    <cfRule type="expression" dxfId="1" priority="270">
      <formula>IF(SUM(K13,Q13)=0,1,0)</formula>
    </cfRule>
    <cfRule type="cellIs" dxfId="0" priority="271" operator="greaterThan">
      <formula>SUM(K13,Q13)</formula>
    </cfRule>
    <cfRule type="cellIs" dxfId="3" priority="272" operator="greaterThan">
      <formula>SUM(IF(ISNUMBER(M13),L13,0),IF(ISNUMBER(S13),R13,0))</formula>
    </cfRule>
  </conditionalFormatting>
  <conditionalFormatting sqref="H14">
    <cfRule type="expression" dxfId="4" priority="273">
      <formula>AND(ISBLANK(G14),ISBLANK(O14),ISBLANK(U14))</formula>
    </cfRule>
    <cfRule type="expression" dxfId="1" priority="274">
      <formula>IF(SUM(K14,Q14)=0,1,0)</formula>
    </cfRule>
    <cfRule type="cellIs" dxfId="0" priority="275" operator="greaterThan">
      <formula>SUM(K14,Q14)</formula>
    </cfRule>
    <cfRule type="cellIs" dxfId="3" priority="276" operator="greaterThan">
      <formula>SUM(IF(ISNUMBER(M14),L14,0),IF(ISNUMBER(S14),R14,0))</formula>
    </cfRule>
  </conditionalFormatting>
  <conditionalFormatting sqref="H15">
    <cfRule type="expression" dxfId="4" priority="277">
      <formula>AND(ISBLANK(G15),ISBLANK(O15),ISBLANK(U15))</formula>
    </cfRule>
    <cfRule type="expression" dxfId="1" priority="278">
      <formula>IF(SUM(K15,Q15)=0,1,0)</formula>
    </cfRule>
    <cfRule type="cellIs" dxfId="0" priority="279" operator="greaterThan">
      <formula>SUM(K15,Q15)</formula>
    </cfRule>
    <cfRule type="cellIs" dxfId="3" priority="280" operator="greaterThan">
      <formula>SUM(IF(ISNUMBER(M15),L15,0),IF(ISNUMBER(S15),R15,0))</formula>
    </cfRule>
  </conditionalFormatting>
  <conditionalFormatting sqref="H16">
    <cfRule type="expression" dxfId="4" priority="281">
      <formula>AND(ISBLANK(G16),ISBLANK(O16),ISBLANK(U16))</formula>
    </cfRule>
    <cfRule type="expression" dxfId="1" priority="282">
      <formula>IF(SUM(K16,Q16)=0,1,0)</formula>
    </cfRule>
    <cfRule type="cellIs" dxfId="0" priority="283" operator="greaterThan">
      <formula>SUM(K16,Q16)</formula>
    </cfRule>
    <cfRule type="cellIs" dxfId="3" priority="284" operator="greaterThan">
      <formula>SUM(IF(ISNUMBER(M16),L16,0),IF(ISNUMBER(S16),R16,0))</formula>
    </cfRule>
  </conditionalFormatting>
  <conditionalFormatting sqref="H17">
    <cfRule type="expression" dxfId="4" priority="285">
      <formula>AND(ISBLANK(G17),ISBLANK(O17),ISBLANK(U17))</formula>
    </cfRule>
    <cfRule type="expression" dxfId="1" priority="286">
      <formula>IF(SUM(K17,Q17)=0,1,0)</formula>
    </cfRule>
    <cfRule type="cellIs" dxfId="0" priority="287" operator="greaterThan">
      <formula>SUM(K17,Q17)</formula>
    </cfRule>
    <cfRule type="cellIs" dxfId="3" priority="288" operator="greaterThan">
      <formula>SUM(IF(ISNUMBER(M17),L17,0),IF(ISNUMBER(S17),R17,0))</formula>
    </cfRule>
  </conditionalFormatting>
  <conditionalFormatting sqref="H18">
    <cfRule type="expression" dxfId="4" priority="289">
      <formula>AND(ISBLANK(G18),ISBLANK(O18),ISBLANK(U18))</formula>
    </cfRule>
    <cfRule type="expression" dxfId="1" priority="290">
      <formula>IF(SUM(K18,Q18)=0,1,0)</formula>
    </cfRule>
    <cfRule type="cellIs" dxfId="0" priority="291" operator="greaterThan">
      <formula>SUM(K18,Q18)</formula>
    </cfRule>
    <cfRule type="cellIs" dxfId="3" priority="292" operator="greaterThan">
      <formula>SUM(IF(ISNUMBER(M18),L18,0),IF(ISNUMBER(S18),R18,0))</formula>
    </cfRule>
  </conditionalFormatting>
  <conditionalFormatting sqref="H19">
    <cfRule type="expression" dxfId="4" priority="293">
      <formula>AND(ISBLANK(G19),ISBLANK(O19),ISBLANK(U19))</formula>
    </cfRule>
    <cfRule type="expression" dxfId="1" priority="294">
      <formula>IF(SUM(K19,Q19)=0,1,0)</formula>
    </cfRule>
    <cfRule type="cellIs" dxfId="0" priority="295" operator="greaterThan">
      <formula>SUM(K19,Q19)</formula>
    </cfRule>
    <cfRule type="cellIs" dxfId="3" priority="296" operator="greaterThan">
      <formula>SUM(IF(ISNUMBER(M19),L19,0),IF(ISNUMBER(S19),R19,0))</formula>
    </cfRule>
  </conditionalFormatting>
  <conditionalFormatting sqref="H20">
    <cfRule type="expression" dxfId="4" priority="297">
      <formula>AND(ISBLANK(G20),ISBLANK(O20),ISBLANK(U20))</formula>
    </cfRule>
    <cfRule type="expression" dxfId="1" priority="298">
      <formula>IF(SUM(K20,Q20)=0,1,0)</formula>
    </cfRule>
    <cfRule type="cellIs" dxfId="0" priority="299" operator="greaterThan">
      <formula>SUM(K20,Q20)</formula>
    </cfRule>
    <cfRule type="cellIs" dxfId="3" priority="300" operator="greaterThan">
      <formula>SUM(IF(ISNUMBER(M20),L20,0),IF(ISNUMBER(S20),R20,0))</formula>
    </cfRule>
  </conditionalFormatting>
  <conditionalFormatting sqref="H21">
    <cfRule type="expression" dxfId="4" priority="301">
      <formula>AND(ISBLANK(G21),ISBLANK(O21),ISBLANK(U21))</formula>
    </cfRule>
    <cfRule type="expression" dxfId="1" priority="302">
      <formula>IF(SUM(K21,Q21)=0,1,0)</formula>
    </cfRule>
    <cfRule type="cellIs" dxfId="0" priority="303" operator="greaterThan">
      <formula>SUM(K21,Q21)</formula>
    </cfRule>
    <cfRule type="cellIs" dxfId="3" priority="304" operator="greaterThan">
      <formula>SUM(IF(ISNUMBER(M21),L21,0),IF(ISNUMBER(S21),R21,0))</formula>
    </cfRule>
  </conditionalFormatting>
  <conditionalFormatting sqref="H22">
    <cfRule type="expression" dxfId="4" priority="305">
      <formula>AND(ISBLANK(G22),ISBLANK(O22),ISBLANK(U22))</formula>
    </cfRule>
    <cfRule type="expression" dxfId="1" priority="306">
      <formula>IF(SUM(K22,Q22)=0,1,0)</formula>
    </cfRule>
    <cfRule type="cellIs" dxfId="0" priority="307" operator="greaterThan">
      <formula>SUM(K22,Q22)</formula>
    </cfRule>
    <cfRule type="cellIs" dxfId="3" priority="308" operator="greaterThan">
      <formula>SUM(IF(ISNUMBER(M22),L22,0),IF(ISNUMBER(S22),R22,0))</formula>
    </cfRule>
  </conditionalFormatting>
  <conditionalFormatting sqref="H23">
    <cfRule type="expression" dxfId="4" priority="309">
      <formula>AND(ISBLANK(G23),ISBLANK(O23),ISBLANK(U23))</formula>
    </cfRule>
    <cfRule type="expression" dxfId="1" priority="310">
      <formula>IF(SUM(K23,Q23)=0,1,0)</formula>
    </cfRule>
    <cfRule type="cellIs" dxfId="0" priority="311" operator="greaterThan">
      <formula>SUM(K23,Q23)</formula>
    </cfRule>
    <cfRule type="cellIs" dxfId="3" priority="312" operator="greaterThan">
      <formula>SUM(IF(ISNUMBER(M23),L23,0),IF(ISNUMBER(S23),R23,0))</formula>
    </cfRule>
  </conditionalFormatting>
  <conditionalFormatting sqref="H24">
    <cfRule type="expression" dxfId="4" priority="313">
      <formula>AND(ISBLANK(G24),ISBLANK(O24),ISBLANK(U24))</formula>
    </cfRule>
    <cfRule type="expression" dxfId="1" priority="314">
      <formula>IF(SUM(K24,Q24)=0,1,0)</formula>
    </cfRule>
    <cfRule type="cellIs" dxfId="0" priority="315" operator="greaterThan">
      <formula>SUM(K24,Q24)</formula>
    </cfRule>
    <cfRule type="cellIs" dxfId="3" priority="316" operator="greaterThan">
      <formula>SUM(IF(ISNUMBER(M24),L24,0),IF(ISNUMBER(S24),R24,0))</formula>
    </cfRule>
  </conditionalFormatting>
  <conditionalFormatting sqref="H25">
    <cfRule type="expression" dxfId="4" priority="317">
      <formula>AND(ISBLANK(G25),ISBLANK(O25),ISBLANK(U25))</formula>
    </cfRule>
    <cfRule type="expression" dxfId="1" priority="318">
      <formula>IF(SUM(K25,Q25)=0,1,0)</formula>
    </cfRule>
    <cfRule type="cellIs" dxfId="0" priority="319" operator="greaterThan">
      <formula>SUM(K25,Q25)</formula>
    </cfRule>
    <cfRule type="cellIs" dxfId="3" priority="320" operator="greaterThan">
      <formula>SUM(IF(ISNUMBER(M25),L25,0),IF(ISNUMBER(S25),R25,0))</formula>
    </cfRule>
  </conditionalFormatting>
  <conditionalFormatting sqref="H26">
    <cfRule type="expression" dxfId="4" priority="321">
      <formula>AND(ISBLANK(G26),ISBLANK(O26),ISBLANK(U26))</formula>
    </cfRule>
    <cfRule type="expression" dxfId="1" priority="322">
      <formula>IF(SUM(K26,Q26)=0,1,0)</formula>
    </cfRule>
    <cfRule type="cellIs" dxfId="0" priority="323" operator="greaterThan">
      <formula>SUM(K26,Q26)</formula>
    </cfRule>
    <cfRule type="cellIs" dxfId="3" priority="324" operator="greaterThan">
      <formula>SUM(IF(ISNUMBER(M26),L26,0),IF(ISNUMBER(S26),R26,0))</formula>
    </cfRule>
  </conditionalFormatting>
  <conditionalFormatting sqref="H27">
    <cfRule type="expression" dxfId="4" priority="325">
      <formula>AND(ISBLANK(G27),ISBLANK(O27),ISBLANK(U27))</formula>
    </cfRule>
    <cfRule type="expression" dxfId="1" priority="326">
      <formula>IF(SUM(K27,Q27)=0,1,0)</formula>
    </cfRule>
    <cfRule type="cellIs" dxfId="0" priority="327" operator="greaterThan">
      <formula>SUM(K27,Q27)</formula>
    </cfRule>
    <cfRule type="cellIs" dxfId="3" priority="328" operator="greaterThan">
      <formula>SUM(IF(ISNUMBER(M27),L27,0),IF(ISNUMBER(S27),R27,0))</formula>
    </cfRule>
  </conditionalFormatting>
  <conditionalFormatting sqref="H28">
    <cfRule type="expression" dxfId="4" priority="329">
      <formula>AND(ISBLANK(G28),ISBLANK(O28),ISBLANK(U28))</formula>
    </cfRule>
    <cfRule type="expression" dxfId="1" priority="330">
      <formula>IF(SUM(K28,Q28)=0,1,0)</formula>
    </cfRule>
    <cfRule type="cellIs" dxfId="0" priority="331" operator="greaterThan">
      <formula>SUM(K28,Q28)</formula>
    </cfRule>
    <cfRule type="cellIs" dxfId="3" priority="332" operator="greaterThan">
      <formula>SUM(IF(ISNUMBER(M28),L28,0),IF(ISNUMBER(S28),R28,0))</formula>
    </cfRule>
  </conditionalFormatting>
  <conditionalFormatting sqref="H29">
    <cfRule type="expression" dxfId="4" priority="333">
      <formula>AND(ISBLANK(G29),ISBLANK(O29),ISBLANK(U29))</formula>
    </cfRule>
    <cfRule type="expression" dxfId="1" priority="334">
      <formula>IF(SUM(K29,Q29)=0,1,0)</formula>
    </cfRule>
    <cfRule type="cellIs" dxfId="0" priority="335" operator="greaterThan">
      <formula>SUM(K29,Q29)</formula>
    </cfRule>
    <cfRule type="cellIs" dxfId="3" priority="336" operator="greaterThan">
      <formula>SUM(IF(ISNUMBER(M29),L29,0),IF(ISNUMBER(S29),R29,0))</formula>
    </cfRule>
  </conditionalFormatting>
  <conditionalFormatting sqref="H30">
    <cfRule type="expression" dxfId="4" priority="337">
      <formula>AND(ISBLANK(G30),ISBLANK(O30),ISBLANK(U30))</formula>
    </cfRule>
    <cfRule type="expression" dxfId="1" priority="338">
      <formula>IF(SUM(K30,Q30)=0,1,0)</formula>
    </cfRule>
    <cfRule type="cellIs" dxfId="0" priority="339" operator="greaterThan">
      <formula>SUM(K30,Q30)</formula>
    </cfRule>
    <cfRule type="cellIs" dxfId="3" priority="340" operator="greaterThan">
      <formula>SUM(IF(ISNUMBER(M30),L30,0),IF(ISNUMBER(S30),R30,0))</formula>
    </cfRule>
  </conditionalFormatting>
  <conditionalFormatting sqref="H31">
    <cfRule type="expression" dxfId="4" priority="341">
      <formula>AND(ISBLANK(G31),ISBLANK(O31),ISBLANK(U31))</formula>
    </cfRule>
    <cfRule type="expression" dxfId="1" priority="342">
      <formula>IF(SUM(K31,Q31)=0,1,0)</formula>
    </cfRule>
    <cfRule type="cellIs" dxfId="0" priority="343" operator="greaterThan">
      <formula>SUM(K31,Q31)</formula>
    </cfRule>
    <cfRule type="cellIs" dxfId="3" priority="344" operator="greaterThan">
      <formula>SUM(IF(ISNUMBER(M31),L31,0),IF(ISNUMBER(S31),R31,0))</formula>
    </cfRule>
  </conditionalFormatting>
  <conditionalFormatting sqref="H32">
    <cfRule type="expression" dxfId="4" priority="345">
      <formula>AND(ISBLANK(G32),ISBLANK(O32),ISBLANK(U32))</formula>
    </cfRule>
    <cfRule type="expression" dxfId="1" priority="346">
      <formula>IF(SUM(K32,Q32)=0,1,0)</formula>
    </cfRule>
    <cfRule type="cellIs" dxfId="0" priority="347" operator="greaterThan">
      <formula>SUM(K32,Q32)</formula>
    </cfRule>
    <cfRule type="cellIs" dxfId="3" priority="348" operator="greaterThan">
      <formula>SUM(IF(ISNUMBER(M32),L32,0),IF(ISNUMBER(S32),R32,0))</formula>
    </cfRule>
  </conditionalFormatting>
  <conditionalFormatting sqref="H33">
    <cfRule type="expression" dxfId="4" priority="349">
      <formula>AND(ISBLANK(G33),ISBLANK(O33),ISBLANK(U33))</formula>
    </cfRule>
    <cfRule type="expression" dxfId="1" priority="350">
      <formula>IF(SUM(K33,Q33)=0,1,0)</formula>
    </cfRule>
    <cfRule type="cellIs" dxfId="0" priority="351" operator="greaterThan">
      <formula>SUM(K33,Q33)</formula>
    </cfRule>
    <cfRule type="cellIs" dxfId="3" priority="352" operator="greaterThan">
      <formula>SUM(IF(ISNUMBER(M33),L33,0),IF(ISNUMBER(S33),R33,0))</formula>
    </cfRule>
  </conditionalFormatting>
  <conditionalFormatting sqref="H34">
    <cfRule type="expression" dxfId="4" priority="353">
      <formula>AND(ISBLANK(G34),ISBLANK(O34),ISBLANK(U34))</formula>
    </cfRule>
    <cfRule type="expression" dxfId="1" priority="354">
      <formula>IF(SUM(K34,Q34)=0,1,0)</formula>
    </cfRule>
    <cfRule type="cellIs" dxfId="0" priority="355" operator="greaterThan">
      <formula>SUM(K34,Q34)</formula>
    </cfRule>
    <cfRule type="cellIs" dxfId="3" priority="356" operator="greaterThan">
      <formula>SUM(IF(ISNUMBER(M34),L34,0),IF(ISNUMBER(S34),R34,0))</formula>
    </cfRule>
  </conditionalFormatting>
  <conditionalFormatting sqref="H35">
    <cfRule type="expression" dxfId="4" priority="357">
      <formula>AND(ISBLANK(G35),ISBLANK(O35),ISBLANK(U35))</formula>
    </cfRule>
    <cfRule type="expression" dxfId="1" priority="358">
      <formula>IF(SUM(K35,Q35)=0,1,0)</formula>
    </cfRule>
    <cfRule type="cellIs" dxfId="0" priority="359" operator="greaterThan">
      <formula>SUM(K35,Q35)</formula>
    </cfRule>
    <cfRule type="cellIs" dxfId="3" priority="360" operator="greaterThan">
      <formula>SUM(IF(ISNUMBER(M35),L35,0),IF(ISNUMBER(S35),R35,0))</formula>
    </cfRule>
  </conditionalFormatting>
  <conditionalFormatting sqref="H36">
    <cfRule type="expression" dxfId="4" priority="361">
      <formula>AND(ISBLANK(G36),ISBLANK(O36),ISBLANK(U36))</formula>
    </cfRule>
    <cfRule type="expression" dxfId="1" priority="362">
      <formula>IF(SUM(K36,Q36)=0,1,0)</formula>
    </cfRule>
    <cfRule type="cellIs" dxfId="0" priority="363" operator="greaterThan">
      <formula>SUM(K36,Q36)</formula>
    </cfRule>
    <cfRule type="cellIs" dxfId="3" priority="364" operator="greaterThan">
      <formula>SUM(IF(ISNUMBER(M36),L36,0),IF(ISNUMBER(S36),R36,0))</formula>
    </cfRule>
  </conditionalFormatting>
  <conditionalFormatting sqref="H37">
    <cfRule type="expression" dxfId="4" priority="365">
      <formula>AND(ISBLANK(G37),ISBLANK(O37),ISBLANK(U37))</formula>
    </cfRule>
    <cfRule type="expression" dxfId="1" priority="366">
      <formula>IF(SUM(K37,Q37)=0,1,0)</formula>
    </cfRule>
    <cfRule type="cellIs" dxfId="0" priority="367" operator="greaterThan">
      <formula>SUM(K37,Q37)</formula>
    </cfRule>
    <cfRule type="cellIs" dxfId="3" priority="368" operator="greaterThan">
      <formula>SUM(IF(ISNUMBER(M37),L37,0),IF(ISNUMBER(S37),R37,0))</formula>
    </cfRule>
  </conditionalFormatting>
  <conditionalFormatting sqref="H38">
    <cfRule type="expression" dxfId="4" priority="369">
      <formula>AND(ISBLANK(G38),ISBLANK(O38),ISBLANK(U38))</formula>
    </cfRule>
    <cfRule type="expression" dxfId="1" priority="370">
      <formula>IF(SUM(K38,Q38)=0,1,0)</formula>
    </cfRule>
    <cfRule type="cellIs" dxfId="0" priority="371" operator="greaterThan">
      <formula>SUM(K38,Q38)</formula>
    </cfRule>
    <cfRule type="cellIs" dxfId="3" priority="372" operator="greaterThan">
      <formula>SUM(IF(ISNUMBER(M38),L38,0),IF(ISNUMBER(S38),R38,0))</formula>
    </cfRule>
  </conditionalFormatting>
  <conditionalFormatting sqref="H39">
    <cfRule type="expression" dxfId="4" priority="373">
      <formula>AND(ISBLANK(G39),ISBLANK(O39),ISBLANK(U39))</formula>
    </cfRule>
    <cfRule type="expression" dxfId="1" priority="374">
      <formula>IF(SUM(K39,Q39)=0,1,0)</formula>
    </cfRule>
    <cfRule type="cellIs" dxfId="0" priority="375" operator="greaterThan">
      <formula>SUM(K39,Q39)</formula>
    </cfRule>
    <cfRule type="cellIs" dxfId="3" priority="376" operator="greaterThan">
      <formula>SUM(IF(ISNUMBER(M39),L39,0),IF(ISNUMBER(S39),R39,0))</formula>
    </cfRule>
  </conditionalFormatting>
  <conditionalFormatting sqref="H40">
    <cfRule type="expression" dxfId="4" priority="377">
      <formula>AND(ISBLANK(G40),ISBLANK(O40),ISBLANK(U40))</formula>
    </cfRule>
    <cfRule type="expression" dxfId="1" priority="378">
      <formula>IF(SUM(K40,Q40)=0,1,0)</formula>
    </cfRule>
    <cfRule type="cellIs" dxfId="0" priority="379" operator="greaterThan">
      <formula>SUM(K40,Q40)</formula>
    </cfRule>
    <cfRule type="cellIs" dxfId="3" priority="380" operator="greaterThan">
      <formula>SUM(IF(ISNUMBER(M40),L40,0),IF(ISNUMBER(S40),R40,0))</formula>
    </cfRule>
  </conditionalFormatting>
  <conditionalFormatting sqref="H41">
    <cfRule type="expression" dxfId="4" priority="381">
      <formula>AND(ISBLANK(G41),ISBLANK(O41),ISBLANK(U41))</formula>
    </cfRule>
    <cfRule type="expression" dxfId="1" priority="382">
      <formula>IF(SUM(K41,Q41)=0,1,0)</formula>
    </cfRule>
    <cfRule type="cellIs" dxfId="0" priority="383" operator="greaterThan">
      <formula>SUM(K41,Q41)</formula>
    </cfRule>
    <cfRule type="cellIs" dxfId="3" priority="384" operator="greaterThan">
      <formula>SUM(IF(ISNUMBER(M41),L41,0),IF(ISNUMBER(S41),R41,0))</formula>
    </cfRule>
  </conditionalFormatting>
  <conditionalFormatting sqref="H7">
    <cfRule type="expression" dxfId="4" priority="245">
      <formula>AND(ISBLANK(G7),ISBLANK(O7),ISBLANK(U7))</formula>
    </cfRule>
    <cfRule type="expression" dxfId="1" priority="246">
      <formula>IF(SUM(K7,Q7)=0,1,0)</formula>
    </cfRule>
    <cfRule type="cellIs" dxfId="0" priority="247" operator="greaterThan">
      <formula>SUM(K7,Q7)</formula>
    </cfRule>
    <cfRule type="cellIs" dxfId="3" priority="248" operator="greaterThan">
      <formula>SUM(IF(ISNUMBER(M7),L7,0),IF(ISNUMBER(S7),R7,0))</formula>
    </cfRule>
  </conditionalFormatting>
  <conditionalFormatting sqref="H8">
    <cfRule type="expression" dxfId="4" priority="249">
      <formula>AND(ISBLANK(G8),ISBLANK(O8),ISBLANK(U8))</formula>
    </cfRule>
    <cfRule type="expression" dxfId="1" priority="250">
      <formula>IF(SUM(K8,Q8)=0,1,0)</formula>
    </cfRule>
    <cfRule type="cellIs" dxfId="0" priority="251" operator="greaterThan">
      <formula>SUM(K8,Q8)</formula>
    </cfRule>
    <cfRule type="cellIs" dxfId="3" priority="252" operator="greaterThan">
      <formula>SUM(IF(ISNUMBER(M8),L8,0),IF(ISNUMBER(S8),R8,0))</formula>
    </cfRule>
  </conditionalFormatting>
  <conditionalFormatting sqref="H9">
    <cfRule type="expression" dxfId="4" priority="253">
      <formula>AND(ISBLANK(G9),ISBLANK(O9),ISBLANK(U9))</formula>
    </cfRule>
    <cfRule type="expression" dxfId="1" priority="254">
      <formula>IF(SUM(K9,Q9)=0,1,0)</formula>
    </cfRule>
    <cfRule type="cellIs" dxfId="0" priority="255" operator="greaterThan">
      <formula>SUM(K9,Q9)</formula>
    </cfRule>
    <cfRule type="cellIs" dxfId="3" priority="256" operator="greaterThan">
      <formula>SUM(IF(ISNUMBER(M9),L9,0),IF(ISNUMBER(S9),R9,0))</formula>
    </cfRule>
  </conditionalFormatting>
  <conditionalFormatting sqref="K10">
    <cfRule type="cellIs" dxfId="0" priority="9" operator="lessThan">
      <formula>H10</formula>
    </cfRule>
  </conditionalFormatting>
  <conditionalFormatting sqref="K11">
    <cfRule type="cellIs" dxfId="0" priority="13" operator="lessThan">
      <formula>H11</formula>
    </cfRule>
  </conditionalFormatting>
  <conditionalFormatting sqref="K12">
    <cfRule type="cellIs" dxfId="0" priority="17" operator="lessThan">
      <formula>H12</formula>
    </cfRule>
  </conditionalFormatting>
  <conditionalFormatting sqref="K13">
    <cfRule type="cellIs" dxfId="0" priority="21" operator="lessThan">
      <formula>H13</formula>
    </cfRule>
  </conditionalFormatting>
  <conditionalFormatting sqref="K18">
    <cfRule type="cellIs" dxfId="0" priority="25" operator="lessThan">
      <formula>H18</formula>
    </cfRule>
  </conditionalFormatting>
  <conditionalFormatting sqref="K19">
    <cfRule type="cellIs" dxfId="0" priority="29" operator="lessThan">
      <formula>H19</formula>
    </cfRule>
  </conditionalFormatting>
  <conditionalFormatting sqref="K20">
    <cfRule type="cellIs" dxfId="0" priority="33" operator="lessThan">
      <formula>H20</formula>
    </cfRule>
  </conditionalFormatting>
  <conditionalFormatting sqref="K21">
    <cfRule type="cellIs" dxfId="0" priority="37" operator="lessThan">
      <formula>H21</formula>
    </cfRule>
  </conditionalFormatting>
  <conditionalFormatting sqref="K22">
    <cfRule type="cellIs" dxfId="0" priority="41" operator="lessThan">
      <formula>H22</formula>
    </cfRule>
  </conditionalFormatting>
  <conditionalFormatting sqref="K23">
    <cfRule type="cellIs" dxfId="0" priority="45" operator="lessThan">
      <formula>H23</formula>
    </cfRule>
  </conditionalFormatting>
  <conditionalFormatting sqref="K24">
    <cfRule type="cellIs" dxfId="0" priority="49" operator="lessThan">
      <formula>H24</formula>
    </cfRule>
  </conditionalFormatting>
  <conditionalFormatting sqref="K25">
    <cfRule type="cellIs" dxfId="0" priority="53" operator="lessThan">
      <formula>H25</formula>
    </cfRule>
  </conditionalFormatting>
  <conditionalFormatting sqref="K26">
    <cfRule type="cellIs" dxfId="0" priority="57" operator="lessThan">
      <formula>H26</formula>
    </cfRule>
  </conditionalFormatting>
  <conditionalFormatting sqref="K27">
    <cfRule type="cellIs" dxfId="0" priority="61" operator="lessThan">
      <formula>H27</formula>
    </cfRule>
  </conditionalFormatting>
  <conditionalFormatting sqref="K28">
    <cfRule type="cellIs" dxfId="0" priority="65" operator="lessThan">
      <formula>H28</formula>
    </cfRule>
  </conditionalFormatting>
  <conditionalFormatting sqref="K29">
    <cfRule type="cellIs" dxfId="0" priority="69" operator="lessThan">
      <formula>H29</formula>
    </cfRule>
  </conditionalFormatting>
  <conditionalFormatting sqref="K30">
    <cfRule type="cellIs" dxfId="0" priority="73" operator="lessThan">
      <formula>H30</formula>
    </cfRule>
  </conditionalFormatting>
  <conditionalFormatting sqref="K31">
    <cfRule type="cellIs" dxfId="0" priority="77" operator="lessThan">
      <formula>H31</formula>
    </cfRule>
  </conditionalFormatting>
  <conditionalFormatting sqref="K32">
    <cfRule type="cellIs" dxfId="0" priority="81" operator="lessThan">
      <formula>H32</formula>
    </cfRule>
  </conditionalFormatting>
  <conditionalFormatting sqref="K33">
    <cfRule type="cellIs" dxfId="0" priority="85" operator="lessThan">
      <formula>H33</formula>
    </cfRule>
  </conditionalFormatting>
  <conditionalFormatting sqref="K34">
    <cfRule type="cellIs" dxfId="0" priority="89" operator="lessThan">
      <formula>H34</formula>
    </cfRule>
  </conditionalFormatting>
  <conditionalFormatting sqref="K35">
    <cfRule type="cellIs" dxfId="0" priority="93" operator="lessThan">
      <formula>H35</formula>
    </cfRule>
  </conditionalFormatting>
  <conditionalFormatting sqref="K36">
    <cfRule type="cellIs" dxfId="0" priority="97" operator="lessThan">
      <formula>H36</formula>
    </cfRule>
  </conditionalFormatting>
  <conditionalFormatting sqref="K37">
    <cfRule type="cellIs" dxfId="0" priority="101" operator="lessThan">
      <formula>H37</formula>
    </cfRule>
  </conditionalFormatting>
  <conditionalFormatting sqref="K39">
    <cfRule type="cellIs" dxfId="0" priority="105" operator="lessThan">
      <formula>H39</formula>
    </cfRule>
  </conditionalFormatting>
  <conditionalFormatting sqref="K40">
    <cfRule type="cellIs" dxfId="0" priority="109" operator="lessThan">
      <formula>H40</formula>
    </cfRule>
  </conditionalFormatting>
  <conditionalFormatting sqref="K41">
    <cfRule type="cellIs" dxfId="0" priority="113" operator="lessThan">
      <formula>H41</formula>
    </cfRule>
  </conditionalFormatting>
  <conditionalFormatting sqref="K7">
    <cfRule type="cellIs" dxfId="0" priority="1" operator="lessThan">
      <formula>H7</formula>
    </cfRule>
  </conditionalFormatting>
  <conditionalFormatting sqref="K8">
    <cfRule type="cellIs" dxfId="0" priority="5" operator="lessThan">
      <formula>H8</formula>
    </cfRule>
  </conditionalFormatting>
  <conditionalFormatting sqref="L10">
    <cfRule type="expression" dxfId="1" priority="10">
      <formula>AND(NOT(ISBLANK(L10)),OR(K10="NonStk",L10&gt;K10))</formula>
    </cfRule>
  </conditionalFormatting>
  <conditionalFormatting sqref="L11">
    <cfRule type="expression" dxfId="1" priority="14">
      <formula>AND(NOT(ISBLANK(L11)),OR(K11="NonStk",L11&gt;K11))</formula>
    </cfRule>
  </conditionalFormatting>
  <conditionalFormatting sqref="L12">
    <cfRule type="expression" dxfId="1" priority="18">
      <formula>AND(NOT(ISBLANK(L12)),OR(K12="NonStk",L12&gt;K12))</formula>
    </cfRule>
  </conditionalFormatting>
  <conditionalFormatting sqref="L13">
    <cfRule type="expression" dxfId="1" priority="22">
      <formula>AND(NOT(ISBLANK(L13)),OR(K13="NonStk",L13&gt;K13))</formula>
    </cfRule>
  </conditionalFormatting>
  <conditionalFormatting sqref="L18">
    <cfRule type="expression" dxfId="1" priority="26">
      <formula>AND(NOT(ISBLANK(L18)),OR(K18="NonStk",L18&gt;K18))</formula>
    </cfRule>
  </conditionalFormatting>
  <conditionalFormatting sqref="L19">
    <cfRule type="expression" dxfId="1" priority="30">
      <formula>AND(NOT(ISBLANK(L19)),OR(K19="NonStk",L19&gt;K19))</formula>
    </cfRule>
  </conditionalFormatting>
  <conditionalFormatting sqref="L20">
    <cfRule type="expression" dxfId="1" priority="34">
      <formula>AND(NOT(ISBLANK(L20)),OR(K20="NonStk",L20&gt;K20))</formula>
    </cfRule>
  </conditionalFormatting>
  <conditionalFormatting sqref="L21">
    <cfRule type="expression" dxfId="1" priority="38">
      <formula>AND(NOT(ISBLANK(L21)),OR(K21="NonStk",L21&gt;K21))</formula>
    </cfRule>
  </conditionalFormatting>
  <conditionalFormatting sqref="L22">
    <cfRule type="expression" dxfId="1" priority="42">
      <formula>AND(NOT(ISBLANK(L22)),OR(K22="NonStk",L22&gt;K22))</formula>
    </cfRule>
  </conditionalFormatting>
  <conditionalFormatting sqref="L23">
    <cfRule type="expression" dxfId="1" priority="46">
      <formula>AND(NOT(ISBLANK(L23)),OR(K23="NonStk",L23&gt;K23))</formula>
    </cfRule>
  </conditionalFormatting>
  <conditionalFormatting sqref="L24">
    <cfRule type="expression" dxfId="1" priority="50">
      <formula>AND(NOT(ISBLANK(L24)),OR(K24="NonStk",L24&gt;K24))</formula>
    </cfRule>
  </conditionalFormatting>
  <conditionalFormatting sqref="L25">
    <cfRule type="expression" dxfId="1" priority="54">
      <formula>AND(NOT(ISBLANK(L25)),OR(K25="NonStk",L25&gt;K25))</formula>
    </cfRule>
  </conditionalFormatting>
  <conditionalFormatting sqref="L26">
    <cfRule type="expression" dxfId="1" priority="58">
      <formula>AND(NOT(ISBLANK(L26)),OR(K26="NonStk",L26&gt;K26))</formula>
    </cfRule>
  </conditionalFormatting>
  <conditionalFormatting sqref="L27">
    <cfRule type="expression" dxfId="1" priority="62">
      <formula>AND(NOT(ISBLANK(L27)),OR(K27="NonStk",L27&gt;K27))</formula>
    </cfRule>
  </conditionalFormatting>
  <conditionalFormatting sqref="L28">
    <cfRule type="expression" dxfId="1" priority="66">
      <formula>AND(NOT(ISBLANK(L28)),OR(K28="NonStk",L28&gt;K28))</formula>
    </cfRule>
  </conditionalFormatting>
  <conditionalFormatting sqref="L29">
    <cfRule type="expression" dxfId="1" priority="70">
      <formula>AND(NOT(ISBLANK(L29)),OR(K29="NonStk",L29&gt;K29))</formula>
    </cfRule>
  </conditionalFormatting>
  <conditionalFormatting sqref="L30">
    <cfRule type="expression" dxfId="1" priority="74">
      <formula>AND(NOT(ISBLANK(L30)),OR(K30="NonStk",L30&gt;K30))</formula>
    </cfRule>
  </conditionalFormatting>
  <conditionalFormatting sqref="L31">
    <cfRule type="expression" dxfId="1" priority="78">
      <formula>AND(NOT(ISBLANK(L31)),OR(K31="NonStk",L31&gt;K31))</formula>
    </cfRule>
  </conditionalFormatting>
  <conditionalFormatting sqref="L32">
    <cfRule type="expression" dxfId="1" priority="82">
      <formula>AND(NOT(ISBLANK(L32)),OR(K32="NonStk",L32&gt;K32))</formula>
    </cfRule>
  </conditionalFormatting>
  <conditionalFormatting sqref="L33">
    <cfRule type="expression" dxfId="1" priority="86">
      <formula>AND(NOT(ISBLANK(L33)),OR(K33="NonStk",L33&gt;K33))</formula>
    </cfRule>
  </conditionalFormatting>
  <conditionalFormatting sqref="L34">
    <cfRule type="expression" dxfId="1" priority="90">
      <formula>AND(NOT(ISBLANK(L34)),OR(K34="NonStk",L34&gt;K34))</formula>
    </cfRule>
  </conditionalFormatting>
  <conditionalFormatting sqref="L35">
    <cfRule type="expression" dxfId="1" priority="94">
      <formula>AND(NOT(ISBLANK(L35)),OR(K35="NonStk",L35&gt;K35))</formula>
    </cfRule>
  </conditionalFormatting>
  <conditionalFormatting sqref="L36">
    <cfRule type="expression" dxfId="1" priority="98">
      <formula>AND(NOT(ISBLANK(L36)),OR(K36="NonStk",L36&gt;K36))</formula>
    </cfRule>
  </conditionalFormatting>
  <conditionalFormatting sqref="L37">
    <cfRule type="expression" dxfId="1" priority="102">
      <formula>AND(NOT(ISBLANK(L37)),OR(K37="NonStk",L37&gt;K37))</formula>
    </cfRule>
  </conditionalFormatting>
  <conditionalFormatting sqref="L39">
    <cfRule type="expression" dxfId="1" priority="106">
      <formula>AND(NOT(ISBLANK(L39)),OR(K39="NonStk",L39&gt;K39))</formula>
    </cfRule>
  </conditionalFormatting>
  <conditionalFormatting sqref="L40">
    <cfRule type="expression" dxfId="1" priority="110">
      <formula>AND(NOT(ISBLANK(L40)),OR(K40="NonStk",L40&gt;K40))</formula>
    </cfRule>
  </conditionalFormatting>
  <conditionalFormatting sqref="L41">
    <cfRule type="expression" dxfId="1" priority="114">
      <formula>AND(NOT(ISBLANK(L41)),OR(K41="NonStk",L41&gt;K41))</formula>
    </cfRule>
  </conditionalFormatting>
  <conditionalFormatting sqref="L7">
    <cfRule type="expression" dxfId="1" priority="2">
      <formula>AND(NOT(ISBLANK(L7)),OR(K7="NonStk",L7&gt;K7))</formula>
    </cfRule>
  </conditionalFormatting>
  <conditionalFormatting sqref="L8">
    <cfRule type="expression" dxfId="1" priority="6">
      <formula>AND(NOT(ISBLANK(L8)),OR(K8="NonStk",L8&gt;K8))</formula>
    </cfRule>
  </conditionalFormatting>
  <conditionalFormatting sqref="M10">
    <cfRule type="cellIs" dxfId="2" priority="12" operator="lessThanOrEqual">
      <formula>I10</formula>
    </cfRule>
  </conditionalFormatting>
  <conditionalFormatting sqref="M11">
    <cfRule type="cellIs" dxfId="2" priority="16" operator="lessThanOrEqual">
      <formula>I11</formula>
    </cfRule>
  </conditionalFormatting>
  <conditionalFormatting sqref="M12">
    <cfRule type="cellIs" dxfId="2" priority="20" operator="lessThanOrEqual">
      <formula>I12</formula>
    </cfRule>
  </conditionalFormatting>
  <conditionalFormatting sqref="M13">
    <cfRule type="cellIs" dxfId="2" priority="24" operator="lessThanOrEqual">
      <formula>I13</formula>
    </cfRule>
  </conditionalFormatting>
  <conditionalFormatting sqref="M18">
    <cfRule type="cellIs" dxfId="2" priority="28" operator="lessThanOrEqual">
      <formula>I18</formula>
    </cfRule>
  </conditionalFormatting>
  <conditionalFormatting sqref="M19">
    <cfRule type="cellIs" dxfId="2" priority="32" operator="lessThanOrEqual">
      <formula>I19</formula>
    </cfRule>
  </conditionalFormatting>
  <conditionalFormatting sqref="M20">
    <cfRule type="cellIs" dxfId="2" priority="36" operator="lessThanOrEqual">
      <formula>I20</formula>
    </cfRule>
  </conditionalFormatting>
  <conditionalFormatting sqref="M21">
    <cfRule type="cellIs" dxfId="2" priority="40" operator="lessThanOrEqual">
      <formula>I21</formula>
    </cfRule>
  </conditionalFormatting>
  <conditionalFormatting sqref="M22">
    <cfRule type="cellIs" dxfId="2" priority="44" operator="lessThanOrEqual">
      <formula>I22</formula>
    </cfRule>
  </conditionalFormatting>
  <conditionalFormatting sqref="M23">
    <cfRule type="cellIs" dxfId="2" priority="48" operator="lessThanOrEqual">
      <formula>I23</formula>
    </cfRule>
  </conditionalFormatting>
  <conditionalFormatting sqref="M24">
    <cfRule type="cellIs" dxfId="2" priority="52" operator="lessThanOrEqual">
      <formula>I24</formula>
    </cfRule>
  </conditionalFormatting>
  <conditionalFormatting sqref="M25">
    <cfRule type="cellIs" dxfId="2" priority="56" operator="lessThanOrEqual">
      <formula>I25</formula>
    </cfRule>
  </conditionalFormatting>
  <conditionalFormatting sqref="M26">
    <cfRule type="cellIs" dxfId="2" priority="60" operator="lessThanOrEqual">
      <formula>I26</formula>
    </cfRule>
  </conditionalFormatting>
  <conditionalFormatting sqref="M27">
    <cfRule type="cellIs" dxfId="2" priority="64" operator="lessThanOrEqual">
      <formula>I27</formula>
    </cfRule>
  </conditionalFormatting>
  <conditionalFormatting sqref="M28">
    <cfRule type="cellIs" dxfId="2" priority="68" operator="lessThanOrEqual">
      <formula>I28</formula>
    </cfRule>
  </conditionalFormatting>
  <conditionalFormatting sqref="M29">
    <cfRule type="cellIs" dxfId="2" priority="72" operator="lessThanOrEqual">
      <formula>I29</formula>
    </cfRule>
  </conditionalFormatting>
  <conditionalFormatting sqref="M30">
    <cfRule type="cellIs" dxfId="2" priority="76" operator="lessThanOrEqual">
      <formula>I30</formula>
    </cfRule>
  </conditionalFormatting>
  <conditionalFormatting sqref="M31">
    <cfRule type="cellIs" dxfId="2" priority="80" operator="lessThanOrEqual">
      <formula>I31</formula>
    </cfRule>
  </conditionalFormatting>
  <conditionalFormatting sqref="M32">
    <cfRule type="cellIs" dxfId="2" priority="84" operator="lessThanOrEqual">
      <formula>I32</formula>
    </cfRule>
  </conditionalFormatting>
  <conditionalFormatting sqref="M33">
    <cfRule type="cellIs" dxfId="2" priority="88" operator="lessThanOrEqual">
      <formula>I33</formula>
    </cfRule>
  </conditionalFormatting>
  <conditionalFormatting sqref="M34">
    <cfRule type="cellIs" dxfId="2" priority="92" operator="lessThanOrEqual">
      <formula>I34</formula>
    </cfRule>
  </conditionalFormatting>
  <conditionalFormatting sqref="M35">
    <cfRule type="cellIs" dxfId="2" priority="96" operator="lessThanOrEqual">
      <formula>I35</formula>
    </cfRule>
  </conditionalFormatting>
  <conditionalFormatting sqref="M36">
    <cfRule type="cellIs" dxfId="2" priority="100" operator="lessThanOrEqual">
      <formula>I36</formula>
    </cfRule>
  </conditionalFormatting>
  <conditionalFormatting sqref="M37">
    <cfRule type="cellIs" dxfId="2" priority="104" operator="lessThanOrEqual">
      <formula>I37</formula>
    </cfRule>
  </conditionalFormatting>
  <conditionalFormatting sqref="M39">
    <cfRule type="cellIs" dxfId="2" priority="108" operator="lessThanOrEqual">
      <formula>I39</formula>
    </cfRule>
  </conditionalFormatting>
  <conditionalFormatting sqref="M40">
    <cfRule type="cellIs" dxfId="2" priority="112" operator="lessThanOrEqual">
      <formula>I40</formula>
    </cfRule>
  </conditionalFormatting>
  <conditionalFormatting sqref="M41">
    <cfRule type="cellIs" dxfId="2" priority="116" operator="lessThanOrEqual">
      <formula>I41</formula>
    </cfRule>
  </conditionalFormatting>
  <conditionalFormatting sqref="M7">
    <cfRule type="cellIs" dxfId="2" priority="4" operator="lessThanOrEqual">
      <formula>I7</formula>
    </cfRule>
  </conditionalFormatting>
  <conditionalFormatting sqref="M8">
    <cfRule type="cellIs" dxfId="2" priority="8" operator="lessThanOrEqual">
      <formula>I8</formula>
    </cfRule>
  </conditionalFormatting>
  <conditionalFormatting sqref="O10">
    <cfRule type="cellIs" dxfId="2" priority="11" operator="lessThanOrEqual">
      <formula>J10</formula>
    </cfRule>
  </conditionalFormatting>
  <conditionalFormatting sqref="O11">
    <cfRule type="cellIs" dxfId="2" priority="15" operator="lessThanOrEqual">
      <formula>J11</formula>
    </cfRule>
  </conditionalFormatting>
  <conditionalFormatting sqref="O12">
    <cfRule type="cellIs" dxfId="2" priority="19" operator="lessThanOrEqual">
      <formula>J12</formula>
    </cfRule>
  </conditionalFormatting>
  <conditionalFormatting sqref="O13">
    <cfRule type="cellIs" dxfId="2" priority="23" operator="lessThanOrEqual">
      <formula>J13</formula>
    </cfRule>
  </conditionalFormatting>
  <conditionalFormatting sqref="O18">
    <cfRule type="cellIs" dxfId="2" priority="27" operator="lessThanOrEqual">
      <formula>J18</formula>
    </cfRule>
  </conditionalFormatting>
  <conditionalFormatting sqref="O19">
    <cfRule type="cellIs" dxfId="2" priority="31" operator="lessThanOrEqual">
      <formula>J19</formula>
    </cfRule>
  </conditionalFormatting>
  <conditionalFormatting sqref="O20">
    <cfRule type="cellIs" dxfId="2" priority="35" operator="lessThanOrEqual">
      <formula>J20</formula>
    </cfRule>
  </conditionalFormatting>
  <conditionalFormatting sqref="O21">
    <cfRule type="cellIs" dxfId="2" priority="39" operator="lessThanOrEqual">
      <formula>J21</formula>
    </cfRule>
  </conditionalFormatting>
  <conditionalFormatting sqref="O22">
    <cfRule type="cellIs" dxfId="2" priority="43" operator="lessThanOrEqual">
      <formula>J22</formula>
    </cfRule>
  </conditionalFormatting>
  <conditionalFormatting sqref="O23">
    <cfRule type="cellIs" dxfId="2" priority="47" operator="lessThanOrEqual">
      <formula>J23</formula>
    </cfRule>
  </conditionalFormatting>
  <conditionalFormatting sqref="O24">
    <cfRule type="cellIs" dxfId="2" priority="51" operator="lessThanOrEqual">
      <formula>J24</formula>
    </cfRule>
  </conditionalFormatting>
  <conditionalFormatting sqref="O25">
    <cfRule type="cellIs" dxfId="2" priority="55" operator="lessThanOrEqual">
      <formula>J25</formula>
    </cfRule>
  </conditionalFormatting>
  <conditionalFormatting sqref="O26">
    <cfRule type="cellIs" dxfId="2" priority="59" operator="lessThanOrEqual">
      <formula>J26</formula>
    </cfRule>
  </conditionalFormatting>
  <conditionalFormatting sqref="O27">
    <cfRule type="cellIs" dxfId="2" priority="63" operator="lessThanOrEqual">
      <formula>J27</formula>
    </cfRule>
  </conditionalFormatting>
  <conditionalFormatting sqref="O28">
    <cfRule type="cellIs" dxfId="2" priority="67" operator="lessThanOrEqual">
      <formula>J28</formula>
    </cfRule>
  </conditionalFormatting>
  <conditionalFormatting sqref="O29">
    <cfRule type="cellIs" dxfId="2" priority="71" operator="lessThanOrEqual">
      <formula>J29</formula>
    </cfRule>
  </conditionalFormatting>
  <conditionalFormatting sqref="O30">
    <cfRule type="cellIs" dxfId="2" priority="75" operator="lessThanOrEqual">
      <formula>J30</formula>
    </cfRule>
  </conditionalFormatting>
  <conditionalFormatting sqref="O31">
    <cfRule type="cellIs" dxfId="2" priority="79" operator="lessThanOrEqual">
      <formula>J31</formula>
    </cfRule>
  </conditionalFormatting>
  <conditionalFormatting sqref="O32">
    <cfRule type="cellIs" dxfId="2" priority="83" operator="lessThanOrEqual">
      <formula>J32</formula>
    </cfRule>
  </conditionalFormatting>
  <conditionalFormatting sqref="O33">
    <cfRule type="cellIs" dxfId="2" priority="87" operator="lessThanOrEqual">
      <formula>J33</formula>
    </cfRule>
  </conditionalFormatting>
  <conditionalFormatting sqref="O34">
    <cfRule type="cellIs" dxfId="2" priority="91" operator="lessThanOrEqual">
      <formula>J34</formula>
    </cfRule>
  </conditionalFormatting>
  <conditionalFormatting sqref="O35">
    <cfRule type="cellIs" dxfId="2" priority="95" operator="lessThanOrEqual">
      <formula>J35</formula>
    </cfRule>
  </conditionalFormatting>
  <conditionalFormatting sqref="O36">
    <cfRule type="cellIs" dxfId="2" priority="99" operator="lessThanOrEqual">
      <formula>J36</formula>
    </cfRule>
  </conditionalFormatting>
  <conditionalFormatting sqref="O37">
    <cfRule type="cellIs" dxfId="2" priority="103" operator="lessThanOrEqual">
      <formula>J37</formula>
    </cfRule>
  </conditionalFormatting>
  <conditionalFormatting sqref="O39">
    <cfRule type="cellIs" dxfId="2" priority="107" operator="lessThanOrEqual">
      <formula>J39</formula>
    </cfRule>
  </conditionalFormatting>
  <conditionalFormatting sqref="O40">
    <cfRule type="cellIs" dxfId="2" priority="111" operator="lessThanOrEqual">
      <formula>J40</formula>
    </cfRule>
  </conditionalFormatting>
  <conditionalFormatting sqref="O41">
    <cfRule type="cellIs" dxfId="2" priority="115" operator="lessThanOrEqual">
      <formula>J41</formula>
    </cfRule>
  </conditionalFormatting>
  <conditionalFormatting sqref="O7">
    <cfRule type="cellIs" dxfId="2" priority="3" operator="lessThanOrEqual">
      <formula>J7</formula>
    </cfRule>
  </conditionalFormatting>
  <conditionalFormatting sqref="O8">
    <cfRule type="cellIs" dxfId="2" priority="7" operator="lessThanOrEqual">
      <formula>J8</formula>
    </cfRule>
  </conditionalFormatting>
  <conditionalFormatting sqref="Q10">
    <cfRule type="cellIs" dxfId="0" priority="133" operator="lessThan">
      <formula>H10</formula>
    </cfRule>
  </conditionalFormatting>
  <conditionalFormatting sqref="Q11">
    <cfRule type="cellIs" dxfId="0" priority="137" operator="lessThan">
      <formula>H11</formula>
    </cfRule>
  </conditionalFormatting>
  <conditionalFormatting sqref="Q12">
    <cfRule type="cellIs" dxfId="0" priority="141" operator="lessThan">
      <formula>H12</formula>
    </cfRule>
  </conditionalFormatting>
  <conditionalFormatting sqref="Q13">
    <cfRule type="cellIs" dxfId="0" priority="145" operator="lessThan">
      <formula>H13</formula>
    </cfRule>
  </conditionalFormatting>
  <conditionalFormatting sqref="Q18">
    <cfRule type="cellIs" dxfId="0" priority="149" operator="lessThan">
      <formula>H18</formula>
    </cfRule>
  </conditionalFormatting>
  <conditionalFormatting sqref="Q19">
    <cfRule type="cellIs" dxfId="0" priority="153" operator="lessThan">
      <formula>H19</formula>
    </cfRule>
  </conditionalFormatting>
  <conditionalFormatting sqref="Q20">
    <cfRule type="cellIs" dxfId="0" priority="157" operator="lessThan">
      <formula>H20</formula>
    </cfRule>
  </conditionalFormatting>
  <conditionalFormatting sqref="Q21">
    <cfRule type="cellIs" dxfId="0" priority="161" operator="lessThan">
      <formula>H21</formula>
    </cfRule>
  </conditionalFormatting>
  <conditionalFormatting sqref="Q22">
    <cfRule type="cellIs" dxfId="0" priority="165" operator="lessThan">
      <formula>H22</formula>
    </cfRule>
  </conditionalFormatting>
  <conditionalFormatting sqref="Q23">
    <cfRule type="cellIs" dxfId="0" priority="169" operator="lessThan">
      <formula>H23</formula>
    </cfRule>
  </conditionalFormatting>
  <conditionalFormatting sqref="Q24">
    <cfRule type="cellIs" dxfId="0" priority="173" operator="lessThan">
      <formula>H24</formula>
    </cfRule>
  </conditionalFormatting>
  <conditionalFormatting sqref="Q25">
    <cfRule type="cellIs" dxfId="0" priority="177" operator="lessThan">
      <formula>H25</formula>
    </cfRule>
  </conditionalFormatting>
  <conditionalFormatting sqref="Q26">
    <cfRule type="cellIs" dxfId="0" priority="181" operator="lessThan">
      <formula>H26</formula>
    </cfRule>
  </conditionalFormatting>
  <conditionalFormatting sqref="Q27">
    <cfRule type="cellIs" dxfId="0" priority="185" operator="lessThan">
      <formula>H27</formula>
    </cfRule>
  </conditionalFormatting>
  <conditionalFormatting sqref="Q28">
    <cfRule type="cellIs" dxfId="0" priority="189" operator="lessThan">
      <formula>H28</formula>
    </cfRule>
  </conditionalFormatting>
  <conditionalFormatting sqref="Q29">
    <cfRule type="cellIs" dxfId="0" priority="193" operator="lessThan">
      <formula>H29</formula>
    </cfRule>
  </conditionalFormatting>
  <conditionalFormatting sqref="Q30">
    <cfRule type="cellIs" dxfId="0" priority="197" operator="lessThan">
      <formula>H30</formula>
    </cfRule>
  </conditionalFormatting>
  <conditionalFormatting sqref="Q31">
    <cfRule type="cellIs" dxfId="0" priority="201" operator="lessThan">
      <formula>H31</formula>
    </cfRule>
  </conditionalFormatting>
  <conditionalFormatting sqref="Q32">
    <cfRule type="cellIs" dxfId="0" priority="205" operator="lessThan">
      <formula>H32</formula>
    </cfRule>
  </conditionalFormatting>
  <conditionalFormatting sqref="Q33">
    <cfRule type="cellIs" dxfId="0" priority="209" operator="lessThan">
      <formula>H33</formula>
    </cfRule>
  </conditionalFormatting>
  <conditionalFormatting sqref="Q34">
    <cfRule type="cellIs" dxfId="0" priority="213" operator="lessThan">
      <formula>H34</formula>
    </cfRule>
  </conditionalFormatting>
  <conditionalFormatting sqref="Q35">
    <cfRule type="cellIs" dxfId="0" priority="217" operator="lessThan">
      <formula>H35</formula>
    </cfRule>
  </conditionalFormatting>
  <conditionalFormatting sqref="Q36">
    <cfRule type="cellIs" dxfId="0" priority="221" operator="lessThan">
      <formula>H36</formula>
    </cfRule>
  </conditionalFormatting>
  <conditionalFormatting sqref="Q37">
    <cfRule type="cellIs" dxfId="0" priority="225" operator="lessThan">
      <formula>H37</formula>
    </cfRule>
  </conditionalFormatting>
  <conditionalFormatting sqref="Q38">
    <cfRule type="cellIs" dxfId="0" priority="229" operator="lessThan">
      <formula>H38</formula>
    </cfRule>
  </conditionalFormatting>
  <conditionalFormatting sqref="Q39">
    <cfRule type="cellIs" dxfId="0" priority="233" operator="lessThan">
      <formula>H39</formula>
    </cfRule>
  </conditionalFormatting>
  <conditionalFormatting sqref="Q40">
    <cfRule type="cellIs" dxfId="0" priority="237" operator="lessThan">
      <formula>H40</formula>
    </cfRule>
  </conditionalFormatting>
  <conditionalFormatting sqref="Q41">
    <cfRule type="cellIs" dxfId="0" priority="241" operator="lessThan">
      <formula>H41</formula>
    </cfRule>
  </conditionalFormatting>
  <conditionalFormatting sqref="Q7">
    <cfRule type="cellIs" dxfId="0" priority="117" operator="lessThan">
      <formula>H7</formula>
    </cfRule>
  </conditionalFormatting>
  <conditionalFormatting sqref="Q8">
    <cfRule type="cellIs" dxfId="0" priority="121" operator="lessThan">
      <formula>H8</formula>
    </cfRule>
  </conditionalFormatting>
  <conditionalFormatting sqref="Q9">
    <cfRule type="cellIs" dxfId="0" priority="125" operator="lessThan">
      <formula>H9</formula>
    </cfRule>
  </conditionalFormatting>
  <conditionalFormatting sqref="R10">
    <cfRule type="expression" dxfId="1" priority="134">
      <formula>AND(NOT(ISBLANK(R10)),OR(Q10="NonStk",R10&gt;Q10))</formula>
    </cfRule>
  </conditionalFormatting>
  <conditionalFormatting sqref="R11">
    <cfRule type="expression" dxfId="1" priority="138">
      <formula>AND(NOT(ISBLANK(R11)),OR(Q11="NonStk",R11&gt;Q11))</formula>
    </cfRule>
  </conditionalFormatting>
  <conditionalFormatting sqref="R12">
    <cfRule type="expression" dxfId="1" priority="142">
      <formula>AND(NOT(ISBLANK(R12)),OR(Q12="NonStk",R12&gt;Q12))</formula>
    </cfRule>
  </conditionalFormatting>
  <conditionalFormatting sqref="R13">
    <cfRule type="expression" dxfId="1" priority="146">
      <formula>AND(NOT(ISBLANK(R13)),OR(Q13="NonStk",R13&gt;Q13))</formula>
    </cfRule>
  </conditionalFormatting>
  <conditionalFormatting sqref="R18">
    <cfRule type="expression" dxfId="1" priority="150">
      <formula>AND(NOT(ISBLANK(R18)),OR(Q18="NonStk",R18&gt;Q18))</formula>
    </cfRule>
  </conditionalFormatting>
  <conditionalFormatting sqref="R19">
    <cfRule type="expression" dxfId="1" priority="154">
      <formula>AND(NOT(ISBLANK(R19)),OR(Q19="NonStk",R19&gt;Q19))</formula>
    </cfRule>
  </conditionalFormatting>
  <conditionalFormatting sqref="R20">
    <cfRule type="expression" dxfId="1" priority="158">
      <formula>AND(NOT(ISBLANK(R20)),OR(Q20="NonStk",R20&gt;Q20))</formula>
    </cfRule>
  </conditionalFormatting>
  <conditionalFormatting sqref="R21">
    <cfRule type="expression" dxfId="1" priority="162">
      <formula>AND(NOT(ISBLANK(R21)),OR(Q21="NonStk",R21&gt;Q21))</formula>
    </cfRule>
  </conditionalFormatting>
  <conditionalFormatting sqref="R22">
    <cfRule type="expression" dxfId="1" priority="166">
      <formula>AND(NOT(ISBLANK(R22)),OR(Q22="NonStk",R22&gt;Q22))</formula>
    </cfRule>
  </conditionalFormatting>
  <conditionalFormatting sqref="R23">
    <cfRule type="expression" dxfId="1" priority="170">
      <formula>AND(NOT(ISBLANK(R23)),OR(Q23="NonStk",R23&gt;Q23))</formula>
    </cfRule>
  </conditionalFormatting>
  <conditionalFormatting sqref="R24">
    <cfRule type="expression" dxfId="1" priority="174">
      <formula>AND(NOT(ISBLANK(R24)),OR(Q24="NonStk",R24&gt;Q24))</formula>
    </cfRule>
  </conditionalFormatting>
  <conditionalFormatting sqref="R25">
    <cfRule type="expression" dxfId="1" priority="178">
      <formula>AND(NOT(ISBLANK(R25)),OR(Q25="NonStk",R25&gt;Q25))</formula>
    </cfRule>
  </conditionalFormatting>
  <conditionalFormatting sqref="R26">
    <cfRule type="expression" dxfId="1" priority="182">
      <formula>AND(NOT(ISBLANK(R26)),OR(Q26="NonStk",R26&gt;Q26))</formula>
    </cfRule>
  </conditionalFormatting>
  <conditionalFormatting sqref="R27">
    <cfRule type="expression" dxfId="1" priority="186">
      <formula>AND(NOT(ISBLANK(R27)),OR(Q27="NonStk",R27&gt;Q27))</formula>
    </cfRule>
  </conditionalFormatting>
  <conditionalFormatting sqref="R28">
    <cfRule type="expression" dxfId="1" priority="190">
      <formula>AND(NOT(ISBLANK(R28)),OR(Q28="NonStk",R28&gt;Q28))</formula>
    </cfRule>
  </conditionalFormatting>
  <conditionalFormatting sqref="R29">
    <cfRule type="expression" dxfId="1" priority="194">
      <formula>AND(NOT(ISBLANK(R29)),OR(Q29="NonStk",R29&gt;Q29))</formula>
    </cfRule>
  </conditionalFormatting>
  <conditionalFormatting sqref="R30">
    <cfRule type="expression" dxfId="1" priority="198">
      <formula>AND(NOT(ISBLANK(R30)),OR(Q30="NonStk",R30&gt;Q30))</formula>
    </cfRule>
  </conditionalFormatting>
  <conditionalFormatting sqref="R31">
    <cfRule type="expression" dxfId="1" priority="202">
      <formula>AND(NOT(ISBLANK(R31)),OR(Q31="NonStk",R31&gt;Q31))</formula>
    </cfRule>
  </conditionalFormatting>
  <conditionalFormatting sqref="R32">
    <cfRule type="expression" dxfId="1" priority="206">
      <formula>AND(NOT(ISBLANK(R32)),OR(Q32="NonStk",R32&gt;Q32))</formula>
    </cfRule>
  </conditionalFormatting>
  <conditionalFormatting sqref="R33">
    <cfRule type="expression" dxfId="1" priority="210">
      <formula>AND(NOT(ISBLANK(R33)),OR(Q33="NonStk",R33&gt;Q33))</formula>
    </cfRule>
  </conditionalFormatting>
  <conditionalFormatting sqref="R34">
    <cfRule type="expression" dxfId="1" priority="214">
      <formula>AND(NOT(ISBLANK(R34)),OR(Q34="NonStk",R34&gt;Q34))</formula>
    </cfRule>
  </conditionalFormatting>
  <conditionalFormatting sqref="R35">
    <cfRule type="expression" dxfId="1" priority="218">
      <formula>AND(NOT(ISBLANK(R35)),OR(Q35="NonStk",R35&gt;Q35))</formula>
    </cfRule>
  </conditionalFormatting>
  <conditionalFormatting sqref="R36">
    <cfRule type="expression" dxfId="1" priority="222">
      <formula>AND(NOT(ISBLANK(R36)),OR(Q36="NonStk",R36&gt;Q36))</formula>
    </cfRule>
  </conditionalFormatting>
  <conditionalFormatting sqref="R37">
    <cfRule type="expression" dxfId="1" priority="226">
      <formula>AND(NOT(ISBLANK(R37)),OR(Q37="NonStk",R37&gt;Q37))</formula>
    </cfRule>
  </conditionalFormatting>
  <conditionalFormatting sqref="R38">
    <cfRule type="expression" dxfId="1" priority="230">
      <formula>AND(NOT(ISBLANK(R38)),OR(Q38="NonStk",R38&gt;Q38))</formula>
    </cfRule>
  </conditionalFormatting>
  <conditionalFormatting sqref="R39">
    <cfRule type="expression" dxfId="1" priority="234">
      <formula>AND(NOT(ISBLANK(R39)),OR(Q39="NonStk",R39&gt;Q39))</formula>
    </cfRule>
  </conditionalFormatting>
  <conditionalFormatting sqref="R40">
    <cfRule type="expression" dxfId="1" priority="238">
      <formula>AND(NOT(ISBLANK(R40)),OR(Q40="NonStk",R40&gt;Q40))</formula>
    </cfRule>
  </conditionalFormatting>
  <conditionalFormatting sqref="R41">
    <cfRule type="expression" dxfId="1" priority="242">
      <formula>AND(NOT(ISBLANK(R41)),OR(Q41="NonStk",R41&gt;Q41))</formula>
    </cfRule>
  </conditionalFormatting>
  <conditionalFormatting sqref="R7">
    <cfRule type="expression" dxfId="1" priority="118">
      <formula>AND(NOT(ISBLANK(R7)),OR(Q7="NonStk",R7&gt;Q7))</formula>
    </cfRule>
  </conditionalFormatting>
  <conditionalFormatting sqref="R8">
    <cfRule type="expression" dxfId="1" priority="122">
      <formula>AND(NOT(ISBLANK(R8)),OR(Q8="NonStk",R8&gt;Q8))</formula>
    </cfRule>
  </conditionalFormatting>
  <conditionalFormatting sqref="R9">
    <cfRule type="expression" dxfId="3" priority="126">
      <formula>AND(R9&gt;0,MOD(R9,T9)&lt;&gt;0)</formula>
    </cfRule>
    <cfRule type="expression" dxfId="1" priority="127">
      <formula>AND(NOT(ISBLANK(R9)),OR(Q9="NonStk",R9&gt;Q9))</formula>
    </cfRule>
  </conditionalFormatting>
  <conditionalFormatting sqref="S10">
    <cfRule type="cellIs" dxfId="2" priority="136" operator="lessThanOrEqual">
      <formula>I10</formula>
    </cfRule>
  </conditionalFormatting>
  <conditionalFormatting sqref="S11">
    <cfRule type="cellIs" dxfId="2" priority="140" operator="lessThanOrEqual">
      <formula>I11</formula>
    </cfRule>
  </conditionalFormatting>
  <conditionalFormatting sqref="S12">
    <cfRule type="cellIs" dxfId="2" priority="144" operator="lessThanOrEqual">
      <formula>I12</formula>
    </cfRule>
  </conditionalFormatting>
  <conditionalFormatting sqref="S13">
    <cfRule type="cellIs" dxfId="2" priority="148" operator="lessThanOrEqual">
      <formula>I13</formula>
    </cfRule>
  </conditionalFormatting>
  <conditionalFormatting sqref="S18">
    <cfRule type="cellIs" dxfId="2" priority="152" operator="lessThanOrEqual">
      <formula>I18</formula>
    </cfRule>
  </conditionalFormatting>
  <conditionalFormatting sqref="S19">
    <cfRule type="cellIs" dxfId="2" priority="156" operator="lessThanOrEqual">
      <formula>I19</formula>
    </cfRule>
  </conditionalFormatting>
  <conditionalFormatting sqref="S20">
    <cfRule type="cellIs" dxfId="2" priority="160" operator="lessThanOrEqual">
      <formula>I20</formula>
    </cfRule>
  </conditionalFormatting>
  <conditionalFormatting sqref="S21">
    <cfRule type="cellIs" dxfId="2" priority="164" operator="lessThanOrEqual">
      <formula>I21</formula>
    </cfRule>
  </conditionalFormatting>
  <conditionalFormatting sqref="S22">
    <cfRule type="cellIs" dxfId="2" priority="168" operator="lessThanOrEqual">
      <formula>I22</formula>
    </cfRule>
  </conditionalFormatting>
  <conditionalFormatting sqref="S23">
    <cfRule type="cellIs" dxfId="2" priority="172" operator="lessThanOrEqual">
      <formula>I23</formula>
    </cfRule>
  </conditionalFormatting>
  <conditionalFormatting sqref="S24">
    <cfRule type="cellIs" dxfId="2" priority="176" operator="lessThanOrEqual">
      <formula>I24</formula>
    </cfRule>
  </conditionalFormatting>
  <conditionalFormatting sqref="S25">
    <cfRule type="cellIs" dxfId="2" priority="180" operator="lessThanOrEqual">
      <formula>I25</formula>
    </cfRule>
  </conditionalFormatting>
  <conditionalFormatting sqref="S26">
    <cfRule type="cellIs" dxfId="2" priority="184" operator="lessThanOrEqual">
      <formula>I26</formula>
    </cfRule>
  </conditionalFormatting>
  <conditionalFormatting sqref="S27">
    <cfRule type="cellIs" dxfId="2" priority="188" operator="lessThanOrEqual">
      <formula>I27</formula>
    </cfRule>
  </conditionalFormatting>
  <conditionalFormatting sqref="S28">
    <cfRule type="cellIs" dxfId="2" priority="192" operator="lessThanOrEqual">
      <formula>I28</formula>
    </cfRule>
  </conditionalFormatting>
  <conditionalFormatting sqref="S29">
    <cfRule type="cellIs" dxfId="2" priority="196" operator="lessThanOrEqual">
      <formula>I29</formula>
    </cfRule>
  </conditionalFormatting>
  <conditionalFormatting sqref="S30">
    <cfRule type="cellIs" dxfId="2" priority="200" operator="lessThanOrEqual">
      <formula>I30</formula>
    </cfRule>
  </conditionalFormatting>
  <conditionalFormatting sqref="S31">
    <cfRule type="cellIs" dxfId="2" priority="204" operator="lessThanOrEqual">
      <formula>I31</formula>
    </cfRule>
  </conditionalFormatting>
  <conditionalFormatting sqref="S32">
    <cfRule type="cellIs" dxfId="2" priority="208" operator="lessThanOrEqual">
      <formula>I32</formula>
    </cfRule>
  </conditionalFormatting>
  <conditionalFormatting sqref="S33">
    <cfRule type="cellIs" dxfId="2" priority="212" operator="lessThanOrEqual">
      <formula>I33</formula>
    </cfRule>
  </conditionalFormatting>
  <conditionalFormatting sqref="S34">
    <cfRule type="cellIs" dxfId="2" priority="216" operator="lessThanOrEqual">
      <formula>I34</formula>
    </cfRule>
  </conditionalFormatting>
  <conditionalFormatting sqref="S35">
    <cfRule type="cellIs" dxfId="2" priority="220" operator="lessThanOrEqual">
      <formula>I35</formula>
    </cfRule>
  </conditionalFormatting>
  <conditionalFormatting sqref="S36">
    <cfRule type="cellIs" dxfId="2" priority="224" operator="lessThanOrEqual">
      <formula>I36</formula>
    </cfRule>
  </conditionalFormatting>
  <conditionalFormatting sqref="S37">
    <cfRule type="cellIs" dxfId="2" priority="228" operator="lessThanOrEqual">
      <formula>I37</formula>
    </cfRule>
  </conditionalFormatting>
  <conditionalFormatting sqref="S38">
    <cfRule type="cellIs" dxfId="2" priority="232" operator="lessThanOrEqual">
      <formula>I38</formula>
    </cfRule>
  </conditionalFormatting>
  <conditionalFormatting sqref="S39">
    <cfRule type="cellIs" dxfId="2" priority="236" operator="lessThanOrEqual">
      <formula>I39</formula>
    </cfRule>
  </conditionalFormatting>
  <conditionalFormatting sqref="S40">
    <cfRule type="cellIs" dxfId="2" priority="240" operator="lessThanOrEqual">
      <formula>I40</formula>
    </cfRule>
  </conditionalFormatting>
  <conditionalFormatting sqref="S41">
    <cfRule type="cellIs" dxfId="2" priority="244" operator="lessThanOrEqual">
      <formula>I41</formula>
    </cfRule>
  </conditionalFormatting>
  <conditionalFormatting sqref="S7">
    <cfRule type="cellIs" dxfId="2" priority="120" operator="lessThanOrEqual">
      <formula>I7</formula>
    </cfRule>
  </conditionalFormatting>
  <conditionalFormatting sqref="S8">
    <cfRule type="cellIs" dxfId="2" priority="124" operator="lessThanOrEqual">
      <formula>I8</formula>
    </cfRule>
  </conditionalFormatting>
  <conditionalFormatting sqref="S9">
    <cfRule type="cellIs" dxfId="2" priority="129" operator="lessThanOrEqual">
      <formula>I9</formula>
    </cfRule>
    <cfRule type="expression" dxfId="3" priority="130">
      <formula>AND(H9&lt;10000,R9&lt;10000)</formula>
    </cfRule>
  </conditionalFormatting>
  <conditionalFormatting sqref="T9">
    <cfRule type="expression" dxfId="3" priority="131">
      <formula>AND(H9&lt;10000,R9&lt;10000)</formula>
    </cfRule>
  </conditionalFormatting>
  <conditionalFormatting sqref="U10">
    <cfRule type="cellIs" dxfId="2" priority="135" operator="lessThanOrEqual">
      <formula>J10</formula>
    </cfRule>
  </conditionalFormatting>
  <conditionalFormatting sqref="U11">
    <cfRule type="cellIs" dxfId="2" priority="139" operator="lessThanOrEqual">
      <formula>J11</formula>
    </cfRule>
  </conditionalFormatting>
  <conditionalFormatting sqref="U12">
    <cfRule type="cellIs" dxfId="2" priority="143" operator="lessThanOrEqual">
      <formula>J12</formula>
    </cfRule>
  </conditionalFormatting>
  <conditionalFormatting sqref="U13">
    <cfRule type="cellIs" dxfId="2" priority="147" operator="lessThanOrEqual">
      <formula>J13</formula>
    </cfRule>
  </conditionalFormatting>
  <conditionalFormatting sqref="U18">
    <cfRule type="cellIs" dxfId="2" priority="151" operator="lessThanOrEqual">
      <formula>J18</formula>
    </cfRule>
  </conditionalFormatting>
  <conditionalFormatting sqref="U19">
    <cfRule type="cellIs" dxfId="2" priority="155" operator="lessThanOrEqual">
      <formula>J19</formula>
    </cfRule>
  </conditionalFormatting>
  <conditionalFormatting sqref="U20">
    <cfRule type="cellIs" dxfId="2" priority="159" operator="lessThanOrEqual">
      <formula>J20</formula>
    </cfRule>
  </conditionalFormatting>
  <conditionalFormatting sqref="U21">
    <cfRule type="cellIs" dxfId="2" priority="163" operator="lessThanOrEqual">
      <formula>J21</formula>
    </cfRule>
  </conditionalFormatting>
  <conditionalFormatting sqref="U22">
    <cfRule type="cellIs" dxfId="2" priority="167" operator="lessThanOrEqual">
      <formula>J22</formula>
    </cfRule>
  </conditionalFormatting>
  <conditionalFormatting sqref="U23">
    <cfRule type="cellIs" dxfId="2" priority="171" operator="lessThanOrEqual">
      <formula>J23</formula>
    </cfRule>
  </conditionalFormatting>
  <conditionalFormatting sqref="U24">
    <cfRule type="cellIs" dxfId="2" priority="175" operator="lessThanOrEqual">
      <formula>J24</formula>
    </cfRule>
  </conditionalFormatting>
  <conditionalFormatting sqref="U25">
    <cfRule type="cellIs" dxfId="2" priority="179" operator="lessThanOrEqual">
      <formula>J25</formula>
    </cfRule>
  </conditionalFormatting>
  <conditionalFormatting sqref="U26">
    <cfRule type="cellIs" dxfId="2" priority="183" operator="lessThanOrEqual">
      <formula>J26</formula>
    </cfRule>
  </conditionalFormatting>
  <conditionalFormatting sqref="U27">
    <cfRule type="cellIs" dxfId="2" priority="187" operator="lessThanOrEqual">
      <formula>J27</formula>
    </cfRule>
  </conditionalFormatting>
  <conditionalFormatting sqref="U28">
    <cfRule type="cellIs" dxfId="2" priority="191" operator="lessThanOrEqual">
      <formula>J28</formula>
    </cfRule>
  </conditionalFormatting>
  <conditionalFormatting sqref="U29">
    <cfRule type="cellIs" dxfId="2" priority="195" operator="lessThanOrEqual">
      <formula>J29</formula>
    </cfRule>
  </conditionalFormatting>
  <conditionalFormatting sqref="U30">
    <cfRule type="cellIs" dxfId="2" priority="199" operator="lessThanOrEqual">
      <formula>J30</formula>
    </cfRule>
  </conditionalFormatting>
  <conditionalFormatting sqref="U31">
    <cfRule type="cellIs" dxfId="2" priority="203" operator="lessThanOrEqual">
      <formula>J31</formula>
    </cfRule>
  </conditionalFormatting>
  <conditionalFormatting sqref="U32">
    <cfRule type="cellIs" dxfId="2" priority="207" operator="lessThanOrEqual">
      <formula>J32</formula>
    </cfRule>
  </conditionalFormatting>
  <conditionalFormatting sqref="U33">
    <cfRule type="cellIs" dxfId="2" priority="211" operator="lessThanOrEqual">
      <formula>J33</formula>
    </cfRule>
  </conditionalFormatting>
  <conditionalFormatting sqref="U34">
    <cfRule type="cellIs" dxfId="2" priority="215" operator="lessThanOrEqual">
      <formula>J34</formula>
    </cfRule>
  </conditionalFormatting>
  <conditionalFormatting sqref="U35">
    <cfRule type="cellIs" dxfId="2" priority="219" operator="lessThanOrEqual">
      <formula>J35</formula>
    </cfRule>
  </conditionalFormatting>
  <conditionalFormatting sqref="U36">
    <cfRule type="cellIs" dxfId="2" priority="223" operator="lessThanOrEqual">
      <formula>J36</formula>
    </cfRule>
  </conditionalFormatting>
  <conditionalFormatting sqref="U37">
    <cfRule type="cellIs" dxfId="2" priority="227" operator="lessThanOrEqual">
      <formula>J37</formula>
    </cfRule>
  </conditionalFormatting>
  <conditionalFormatting sqref="U38">
    <cfRule type="cellIs" dxfId="2" priority="231" operator="lessThanOrEqual">
      <formula>J38</formula>
    </cfRule>
  </conditionalFormatting>
  <conditionalFormatting sqref="U39">
    <cfRule type="cellIs" dxfId="2" priority="235" operator="lessThanOrEqual">
      <formula>J39</formula>
    </cfRule>
  </conditionalFormatting>
  <conditionalFormatting sqref="U40">
    <cfRule type="cellIs" dxfId="2" priority="239" operator="lessThanOrEqual">
      <formula>J40</formula>
    </cfRule>
  </conditionalFormatting>
  <conditionalFormatting sqref="U41">
    <cfRule type="cellIs" dxfId="2" priority="243" operator="lessThanOrEqual">
      <formula>J41</formula>
    </cfRule>
  </conditionalFormatting>
  <conditionalFormatting sqref="U7">
    <cfRule type="cellIs" dxfId="2" priority="119" operator="lessThanOrEqual">
      <formula>J7</formula>
    </cfRule>
  </conditionalFormatting>
  <conditionalFormatting sqref="U8">
    <cfRule type="cellIs" dxfId="2" priority="123" operator="lessThanOrEqual">
      <formula>J8</formula>
    </cfRule>
  </conditionalFormatting>
  <conditionalFormatting sqref="U9">
    <cfRule type="cellIs" dxfId="2" priority="128" operator="lessThanOrEqual">
      <formula>J9</formula>
    </cfRule>
    <cfRule type="expression" dxfId="3" priority="132">
      <formula>AND(H9&lt;10000,R9&lt;10000)</formula>
    </cfRule>
  </conditionalFormatting>
  <hyperlinks>
    <hyperlink ref="G7" r:id="rId1"/>
    <hyperlink ref="P7" r:id="rId2"/>
    <hyperlink ref="V7" r:id="rId3"/>
    <hyperlink ref="G8" r:id="rId4"/>
    <hyperlink ref="P8" r:id="rId5"/>
    <hyperlink ref="V8" r:id="rId6"/>
    <hyperlink ref="G9" r:id="rId7"/>
    <hyperlink ref="V9" r:id="rId8"/>
    <hyperlink ref="G10" r:id="rId9"/>
    <hyperlink ref="P10" r:id="rId10"/>
    <hyperlink ref="V10" r:id="rId11"/>
    <hyperlink ref="G11" r:id="rId12"/>
    <hyperlink ref="P11" r:id="rId13"/>
    <hyperlink ref="V11" r:id="rId14"/>
    <hyperlink ref="G12" r:id="rId15"/>
    <hyperlink ref="P12" r:id="rId16"/>
    <hyperlink ref="V12" r:id="rId17"/>
    <hyperlink ref="G13" r:id="rId18"/>
    <hyperlink ref="P13" r:id="rId19"/>
    <hyperlink ref="V13" r:id="rId20"/>
    <hyperlink ref="G14" r:id="rId21"/>
    <hyperlink ref="G15" r:id="rId22"/>
    <hyperlink ref="G16" r:id="rId23"/>
    <hyperlink ref="G17" r:id="rId24"/>
    <hyperlink ref="G18" r:id="rId25"/>
    <hyperlink ref="P18" r:id="rId26"/>
    <hyperlink ref="V18" r:id="rId27"/>
    <hyperlink ref="G19" r:id="rId28"/>
    <hyperlink ref="P19" r:id="rId29"/>
    <hyperlink ref="V19" r:id="rId30"/>
    <hyperlink ref="G20" r:id="rId31"/>
    <hyperlink ref="P20" r:id="rId32"/>
    <hyperlink ref="V20" r:id="rId33"/>
    <hyperlink ref="G21" r:id="rId34"/>
    <hyperlink ref="P21" r:id="rId35"/>
    <hyperlink ref="V21" r:id="rId36"/>
    <hyperlink ref="G22" r:id="rId37"/>
    <hyperlink ref="P22" r:id="rId38"/>
    <hyperlink ref="V22" r:id="rId39"/>
    <hyperlink ref="G23" r:id="rId40"/>
    <hyperlink ref="P23" r:id="rId41"/>
    <hyperlink ref="V23" r:id="rId42"/>
    <hyperlink ref="G24" r:id="rId43"/>
    <hyperlink ref="P24" r:id="rId44"/>
    <hyperlink ref="V24" r:id="rId45"/>
    <hyperlink ref="G25" r:id="rId46"/>
    <hyperlink ref="P25" r:id="rId47"/>
    <hyperlink ref="V25" r:id="rId48"/>
    <hyperlink ref="G26" r:id="rId49"/>
    <hyperlink ref="P26" r:id="rId50"/>
    <hyperlink ref="V26" r:id="rId51"/>
    <hyperlink ref="G27" r:id="rId52"/>
    <hyperlink ref="P27" r:id="rId53"/>
    <hyperlink ref="V27" r:id="rId54"/>
    <hyperlink ref="G28" r:id="rId55"/>
    <hyperlink ref="P28" r:id="rId56"/>
    <hyperlink ref="V28" r:id="rId57"/>
    <hyperlink ref="G29" r:id="rId58"/>
    <hyperlink ref="P29" r:id="rId59"/>
    <hyperlink ref="V29" r:id="rId60"/>
    <hyperlink ref="G30" r:id="rId61"/>
    <hyperlink ref="P30" r:id="rId62"/>
    <hyperlink ref="V30" r:id="rId63"/>
    <hyperlink ref="G31" r:id="rId64"/>
    <hyperlink ref="P31" r:id="rId65"/>
    <hyperlink ref="V31" r:id="rId66"/>
    <hyperlink ref="G32" r:id="rId67"/>
    <hyperlink ref="P32" r:id="rId68"/>
    <hyperlink ref="V32" r:id="rId69"/>
    <hyperlink ref="G33" r:id="rId70"/>
    <hyperlink ref="P33" r:id="rId71"/>
    <hyperlink ref="V33" r:id="rId72"/>
    <hyperlink ref="G34" r:id="rId73"/>
    <hyperlink ref="P34" r:id="rId74"/>
    <hyperlink ref="V34" r:id="rId75"/>
    <hyperlink ref="G35" r:id="rId76"/>
    <hyperlink ref="P35" r:id="rId77"/>
    <hyperlink ref="V35" r:id="rId78"/>
    <hyperlink ref="G36" r:id="rId79"/>
    <hyperlink ref="P36" r:id="rId80"/>
    <hyperlink ref="V36" r:id="rId81"/>
    <hyperlink ref="G37" r:id="rId82"/>
    <hyperlink ref="P37" r:id="rId83"/>
    <hyperlink ref="V37" r:id="rId84"/>
    <hyperlink ref="G38" r:id="rId85"/>
    <hyperlink ref="V38" r:id="rId86"/>
    <hyperlink ref="G39" r:id="rId87"/>
    <hyperlink ref="P39" r:id="rId88"/>
    <hyperlink ref="V39" r:id="rId89"/>
    <hyperlink ref="G40" r:id="rId90"/>
    <hyperlink ref="P40" r:id="rId91"/>
    <hyperlink ref="V40" r:id="rId92"/>
    <hyperlink ref="G41" r:id="rId93"/>
    <hyperlink ref="P41" r:id="rId94"/>
    <hyperlink ref="V41" r:id="rId95"/>
    <hyperlink ref="K43" r:id="rId96"/>
    <hyperlink ref="Q43" r:id="rId97"/>
  </hyperlinks>
  <pageMargins left="0.7" right="0.7" top="0.75" bottom="0.75" header="0.3" footer="0.3"/>
  <legacyDrawing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reDIP-SID-BOM</vt:lpstr>
      <vt:lpstr>'reDIP-SID-BOM'!BoardQty</vt:lpstr>
      <vt:lpstr>'reDIP-SID-BOM'!PURCHASE_DESCRIPTION</vt:lpstr>
      <vt:lpstr>'reDIP-SID-BOM'!TotalCost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2023-11-02T19:37:40Z</dcterms:created>
  <dcterms:modified xsi:type="dcterms:W3CDTF">2023-11-02T19:37:40Z</dcterms:modified>
</cp:coreProperties>
</file>