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DIP-SID-BOM. " sheetId="1" r:id="rId1"/>
  </sheets>
  <definedNames>
    <definedName name="arrow_part_data">'reDIP-SID-BOM. '!$K$5:$O$42</definedName>
    <definedName name="BoardQty">'reDIP-SID-BOM. '!$J$1</definedName>
    <definedName name="digikey_part_data">'reDIP-SID-BOM. '!$P$5:$T$42</definedName>
    <definedName name="farnell_part_data">'reDIP-SID-BOM. '!$U$5:$Y$42</definedName>
    <definedName name="global_part_data">'reDIP-SID-BOM. '!$A$5:$J$42</definedName>
    <definedName name="lcsc_part_data">'reDIP-SID-BOM. '!$Z$5:$AD$42</definedName>
    <definedName name="mouser_part_data">'reDIP-SID-BOM. '!$AE$5:$AI$42</definedName>
    <definedName name="newark_part_data">'reDIP-SID-BOM. '!$AJ$5:$AN$42</definedName>
    <definedName name="PURCHASE_DESCRIPTION">'reDIP-SID-BOM. '!$J$45</definedName>
    <definedName name="rs_part_data">'reDIP-SID-BOM. '!$AO$5:$AS$42</definedName>
    <definedName name="tme_part_data">'reDIP-SID-BOM. '!$AT$5:$AX$42</definedName>
    <definedName name="TotalCost">'reDIP-SID-BOM. '!$J$3</definedName>
    <definedName name="USD_GBP">'reDIP-SID-BOM. '!$C$45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I3" authorId="0">
      <text>
        <r>
          <rPr>
            <sz val="8"/>
            <color indexed="81"/>
            <rFont val="Tahoma"/>
            <family val="2"/>
          </rPr>
          <t>Use the minimum extend price across distributors not taking account available quantities.</t>
        </r>
      </text>
    </comment>
    <comment ref="O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T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Y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D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I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N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S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X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6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6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6" authorId="0">
      <text>
        <r>
          <rPr>
            <sz val="8"/>
            <color indexed="81"/>
            <rFont val="Tahoma"/>
            <family val="2"/>
          </rPr>
          <t>Description of each part.</t>
        </r>
      </text>
    </comment>
    <comment ref="D6" authorId="0">
      <text>
        <r>
          <rPr>
            <sz val="8"/>
            <color indexed="81"/>
            <rFont val="Tahoma"/>
            <family val="2"/>
          </rPr>
          <t>User-defined field.</t>
        </r>
      </text>
    </comment>
    <comment ref="E6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F6" authorId="0">
      <text>
        <r>
          <rPr>
            <sz val="8"/>
            <color indexed="81"/>
            <rFont val="Tahoma"/>
            <family val="2"/>
          </rPr>
          <t>Manufacturer of each part.</t>
        </r>
      </text>
    </comment>
    <comment ref="G6" authorId="0">
      <text>
        <r>
          <rPr>
            <sz val="8"/>
            <color indexed="81"/>
            <rFont val="Tahoma"/>
            <family val="2"/>
          </rPr>
          <t>Manufacturer number for each part and link to it's datasheet (Ctrl-click).
Purple -&gt; Obsolete part detected by one of the distributors.</t>
        </r>
      </text>
    </comment>
    <comment ref="H6" authorId="0">
      <text>
        <r>
          <rPr>
            <sz val="8"/>
            <color indexed="81"/>
            <rFont val="Tahoma"/>
            <family val="2"/>
          </rPr>
          <t>Total number of each part needed.
Gray -&gt; No manf# provided.
Red -&gt; No parts available.
Orange -&gt; Not enough parts available.
Yellow -&gt; Parts available, but haven't purchased enough.</t>
        </r>
      </text>
    </comment>
    <comment ref="I6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J6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  <comment ref="K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L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M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N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O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P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Q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R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S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T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U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V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W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X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Y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Z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A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B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C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D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E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F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G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H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I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J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K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L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M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N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O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P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Q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R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S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T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U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V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W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X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P7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R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$0.37      $0.37
    10   $0.26      $2.58
    50   $0.18      $9.04
   100   $0.15     $15.49
   500   $0.12     $58.09
  1000   $0.10     $98.11
  4000   $0.08    $305.32</t>
        </r>
      </text>
    </comment>
    <comment ref="W7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£0.30      £3.01
   100   £0.16     £16.20
   150   £0.16     £24.30
   500   £0.11     £53.00
  1000   £0.09     £90.00
  2000   £0.08    £165.60
  4000   £0.08    £302.40
 20000   £0.07  £1,482.00</t>
        </r>
      </text>
    </comment>
    <comment ref="AB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5   $0.62      $3.10
    50   $0.45     $22.62
   150   $0.42     $63.22
   500   $0.39    $195.30
  2500   $0.38    $942.20
  5000   $0.37  $1,850.50</t>
        </r>
      </text>
    </comment>
    <comment ref="AE7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G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$0.37      $0.37
    10   $0.26      $2.58
    50   $0.26     $12.90
   100   $0.15     $15.40
  1000   $0.10     $98.00
 10000   $0.08    $830.00</t>
        </r>
      </text>
    </comment>
    <comment ref="AL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$0.44      $0.44
    10   $0.31      $3.10
    25   $0.27      $6.70
    50   $0.23     $11.30
   100   $0.18     $18.50</t>
        </r>
      </text>
    </comment>
    <comment ref="P8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R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$0.37      $0.37
    10   $0.26      $2.58
    50   $0.18      $9.03
   100   $0.15     $15.48
   500   $0.12     $58.04
  1000   $0.10     $98.02
  4000   $0.09    $350.80</t>
        </r>
      </text>
    </comment>
    <comment ref="U8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8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£0.19      £1.87
   100   £0.14     £13.90
   150   £0.14     £20.85
   500   £0.09     £44.95
  1000   £0.08     £75.90
  2000   £0.07    £148.60
  4000   £0.07    £291.20
 20000   £0.06  £1,206.00</t>
        </r>
      </text>
    </comment>
    <comment ref="AG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$0.36      $0.36
    10   $0.27      $2.70
    50   $0.27     $13.50
   100   $0.16     $16.10
  1000   $0.10    $102.00
 10000   $0.08    $750.00</t>
        </r>
      </text>
    </comment>
    <comment ref="AJ8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L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10   $0.27      $2.70
    25   $0.23      $5.85
    50   $0.20      $9.85
   100   $0.16     $16.10
  4000   $0.08    $324.00
  8000   $0.08    $600.00</t>
        </r>
      </text>
    </comment>
    <comment ref="AQ8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20   £0.21      £4.12
   100   £0.11     £11.40
   500   £0.09     £46.50
  1000   £0.08     £82.00
  2000   £0.08    £160.00
  4000   £0.06    £240.00
 16000   £0.06    £928.00</t>
        </r>
      </text>
    </comment>
    <comment ref="R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$0.25      $0.25
    10   $0.17      $1.72
    50   $0.12      $5.75
   100   $0.10      $9.78
   500   $0.07     $34.50
  1000   $0.06     $60.38
  2500   $0.06    $143.75
  5000   $0.05    $265.95
 15000   $0.05    $715.95</t>
        </r>
      </text>
    </comment>
    <comment ref="W9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£0.15      £1.52
   100   £0.11     £10.60
   150   £0.11     £15.90
   500   £0.08     £41.85
  2500   £0.06    £159.00
  7500   £0.05    £397.50
 15000   £0.05    £780.00
 75000   £0.04  £3,337.50</t>
        </r>
      </text>
    </comment>
    <comment ref="AG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$0.25      $0.25
    10   $0.17      $1.71
    50   $0.17      $8.55
   100   $0.10      $9.70
  1000   $0.06     $60.00
 10000   $0.05    $510.00</t>
        </r>
      </text>
    </comment>
    <comment ref="AL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$0.06      $0.06
    10   $0.20      $2.05
    25   $0.18      $4.40
    50   $0.15      $7.30
   100   $0.12     $11.60
 15000   $0.06    $960.00</t>
        </r>
      </text>
    </comment>
    <comment ref="R1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$0.44      $0.44
    10   $0.31      $3.07
    50   $0.22     $10.75
   100   $0.18     $18.42
   500   $0.14     $69.09
  1000   $0.12    $116.68
  2500   $0.11    $276.35
  5000   $0.10    $522.00
 10000   $0.10    $982.60</t>
        </r>
      </text>
    </comment>
    <comment ref="W10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£0.23      £2.27
   100   £0.18     £18.40
   150   £0.18     £27.60
   500   £0.10     £51.00
  2500   £0.10    £242.25
  5000   £0.09    £426.50
 10000   £0.08    £836.00
 50000   £0.07  £3,580.00</t>
        </r>
      </text>
    </comment>
    <comment ref="AB1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5   $0.67      $3.35
    50   $0.49     $24.43
   150   $0.46     $68.28
   500   $0.42    $210.94
  2500   $0.41  $1,017.60
  5000   $0.40  $1,998.60</t>
        </r>
      </text>
    </comment>
    <comment ref="AG1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$0.44      $0.44
    10   $0.31      $3.06
    50   $0.31     $15.30
   100   $0.18     $18.40
  1000   $0.12    $116.00
 10000   $0.09    $940.00</t>
        </r>
      </text>
    </comment>
    <comment ref="AL1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$0.11      $0.11
    10   $0.37      $3.67
    25   $0.32      $7.95
    50   $0.27     $13.50
   100   $0.22     $22.10
 10000   $0.11  $1,130.00</t>
        </r>
      </text>
    </comment>
    <comment ref="R1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$0.29      $0.29
    10   $0.20      $1.98
    50   $0.12      $5.95
   100   $0.10     $10.05
   500   $0.07     $34.38
  1000   $0.06     $60.84
  2500   $0.06    $145.48
  5000   $0.05    $264.50
 10000   $0.05    $502.60</t>
        </r>
      </text>
    </comment>
    <comment ref="W11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£0.13      £1.27
   100   £0.10     £10.50
   150   £0.10     £15.75
   500   £0.05     £26.15
  2500   £0.05    £125.00
  5000   £0.05    £228.00
 10000   £0.04    £432.00
 50000   £0.04  £1,930.00</t>
        </r>
      </text>
    </comment>
    <comment ref="AG1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$0.29      $0.29
    10   $0.20      $1.98
    50   $0.20      $9.90
   100   $0.10     $10.10
  1000   $0.06     $61.00
 10000   $0.05    $500.00</t>
        </r>
      </text>
    </comment>
    <comment ref="AL1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$0.35      $0.35
    10   $0.24      $2.38
    25   $0.20      $4.98
    50   $0.16      $8.00
   100   $0.12     $12.10</t>
        </r>
      </text>
    </comment>
    <comment ref="R1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$0.34
    50   $0.02      $0.93
   100   $0.02      $1.52
   500   $0.01      $5.43
  1000   $0.01      $8.54
  2500   $0.01     $19.40
  5000   $0.01     $35.70
 15000   $0.01     $93.15</t>
        </r>
      </text>
    </comment>
    <comment ref="W12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£0.02      £0.21
   100   £0.02      £1.68
   150   £0.02      £2.52
   500   £0.01      £4.50
  2500   £0.01     £15.00
  7500   £0.01     £44.25
 15000   £0.01     £81.00
 75000   £0.00    £352.50</t>
        </r>
      </text>
    </comment>
    <comment ref="AB1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100   $0.02      $1.73
  1000   $0.01     $12.59
  3000   $0.01     $35.19
 10000   $0.01    $108.70
 50000   $0.01    $524.50
100000   $0.01  $1,030.00</t>
        </r>
      </text>
    </comment>
    <comment ref="AG1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$0.34
    50   $0.03      $1.70
   100   $0.02      $1.50
  1000   $0.01      $9.00
 10000   $0.01     $70.00</t>
        </r>
      </text>
    </comment>
    <comment ref="AL1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$0.12      $0.12
    10   $0.04      $0.41
    25   $0.03      $0.83
    50   $0.03      $1.30
   100   $0.02      $1.80
 15000   $0.01    $120.00</t>
        </r>
      </text>
    </comment>
    <comment ref="AQ12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1000   £0.01      £7.00
  5000   £0.01     £30.00
 10000   £0.01     £60.00
 15000   £0.00     £60.00
 60000   £0.00    £240.00</t>
        </r>
      </text>
    </comment>
    <comment ref="R1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$0.18      $0.18
    10   $0.17      $1.66
   100   $0.09      $9.04
   500   $0.06     $27.83
  1000   $0.04     $37.95
  3000   $0.03     $96.78
  6000   $0.03    $174.60
 15000   $0.03    $379.50
 30000   $0.02    $683.10
 75000   $0.02  $1,518.00</t>
        </r>
      </text>
    </comment>
    <comment ref="W13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£0.16      £0.79
    50   £0.12      £6.15
   100   £0.09      £8.83
   150   £0.09     £13.25
   500   £0.04     £18.25
  3000   £0.03     £85.20</t>
        </r>
      </text>
    </comment>
    <comment ref="AG1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$0.18      $0.18
    10   $0.17      $1.66
    50   $0.17      $8.30
   100   $0.09      $9.10
  1000   $0.04     $41.00
 10000   $0.03    $300.00</t>
        </r>
      </text>
    </comment>
    <comment ref="AL1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$0.04      $0.04
    10   $0.23      $2.29
    25   $0.19      $4.85
    50   $0.16      $7.95
   100   $0.12     $11.90
  3000   $0.04    $129.00
  6000   $0.04    $246.00
 12000   $0.02    $276.00</t>
        </r>
      </text>
    </comment>
    <comment ref="AQ13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50   £0.16      £7.90
   250   £0.13     £33.50
  1000   £0.12    £118.00
  2500   £0.10    £255.00
  3000   £0.03     £81.00</t>
        </r>
      </text>
    </comment>
    <comment ref="R1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$0.32      $0.32
    10   $0.26      $2.56
   100   $0.12     $11.50
   500   $0.10     $51.94
  1000   $0.09     $85.33
  2000   $0.07    $148.40
  4000   $0.07    $296.80
  8000   $0.07    $534.24
 12000   $0.06    $712.32
 28000   $0.06  $1,558.20
100000   $0.05  $5,250.00</t>
        </r>
      </text>
    </comment>
    <comment ref="W14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4000   £0.08    £330.80</t>
        </r>
      </text>
    </comment>
    <comment ref="AG1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$0.48      $0.48
    10   $0.27      $2.66
    50   $0.27     $13.30
   100   $0.11     $10.80
  1000   $0.09     $89.00
 10000   $0.06    $560.00</t>
        </r>
      </text>
    </comment>
    <comment ref="AL1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$0.32      $0.32
    25   $0.26      $6.40
    50   $0.19      $9.30
   100   $0.12     $11.50
   250   $0.11     $27.25
   500   $0.10     $51.50</t>
        </r>
      </text>
    </comment>
    <comment ref="AV14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£0.14      £0.71
    25   £0.12      £3.07
   100   £0.08      £7.58
   500   £0.06     £28.90
  4000   £0.04    £173.20</t>
        </r>
      </text>
    </comment>
    <comment ref="R1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$0.33      $0.33
    10   $0.26      $2.63
   100   $0.12     $11.83
   500   $0.11     $53.42
  1000   $0.09     $87.77
  2000   $0.08    $152.64
  4000   $0.08    $305.28
  8000   $0.07    $549.52
 12000   $0.06    $732.72
 28000   $0.06  $1,602.72
100000   $0.05  $5,400.00</t>
        </r>
      </text>
    </comment>
    <comment ref="W15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£0.26      £0.26
    25   £0.20      £5.00
    50   £0.14      £7.25
   100   £0.09      £8.92
   250   £0.08     £21.22
   500   £0.08     £40.65</t>
        </r>
      </text>
    </comment>
    <comment ref="AG1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$0.49      $0.49
    10   $0.27      $2.74
    50   $0.27     $13.70
   100   $0.11     $11.10
  1000   $0.09     $92.00
 10000   $0.06    $570.00</t>
        </r>
      </text>
    </comment>
    <comment ref="AL1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$0.04      $0.04
    25   $0.04      $0.98
    50   $0.04      $1.95
   100   $0.04      $3.90
   250   $0.04      $9.75
   500   $0.04     $19.50</t>
        </r>
      </text>
    </comment>
    <comment ref="AV15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£0.14      £0.71
    25   £0.11      £2.68
   100   £0.08      £7.58
   500   £0.05     £27.35
  4000   £0.04    £157.60</t>
        </r>
      </text>
    </comment>
    <comment ref="AB2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$1.77      $1.77
    10   $1.36     $13.60
    30   $1.26     $37.80
   100   $1.13    $113.00
   500   $1.07    $535.00
  1000   $1.06  $1,060.00</t>
        </r>
      </text>
    </comment>
    <comment ref="P21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R2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$0.05      $0.53
   100   $0.02      $2.17
  1000   $0.01      $9.75
  2500   $0.01     $21.15
  5000   $0.01     $34.95
 15000   $0.01     $91.05</t>
        </r>
      </text>
    </comment>
    <comment ref="W21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£0.03      £0.26
   100   £0.01      £1.41
   150   £0.01      £2.11
   500   £0.01      £4.35
  2500   £0.00     £11.50
  7500   £0.00     £30.75
 15000   £0.00     £43.50</t>
        </r>
      </text>
    </comment>
    <comment ref="AB2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50   $0.06      $2.96
   500   $0.04     $22.20
  1500   $0.04     $62.49
  5000   $0.04    $194.65
 25000   $0.04    $943.00
 50000   $0.04  $1,856.00</t>
        </r>
      </text>
    </comment>
    <comment ref="AG2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$0.06      $0.56
    50   $0.06      $2.80
   100   $0.02      $2.40
  1000   $0.01     $12.00
 10000   $0.01     $90.00</t>
        </r>
      </text>
    </comment>
    <comment ref="AL2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$0.11      $0.11
    10   $0.06      $0.62
    25   $0.05      $1.25
    50   $0.04      $1.90
   100   $0.03      $2.60
 15000   $0.01    $135.00</t>
        </r>
      </text>
    </comment>
    <comment ref="R2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$0.28
   100   $0.01      $1.15
  1000   $0.01      $5.18
  2500   $0.00     $11.25
  5000   $0.00     $18.55
 15000   $0.00     $48.45</t>
        </r>
      </text>
    </comment>
    <comment ref="U22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22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30000   £0.01    £156.00</t>
        </r>
      </text>
    </comment>
    <comment ref="AG2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$0.29
    50   $0.03      $1.45
   100   $0.01      $1.20
  1000   $0.01      $6.00
 10000   $0.00     $40.00</t>
        </r>
      </text>
    </comment>
    <comment ref="AJ22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L2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$0.00      $0.00
 15000   $0.00     $75.00
 30000   $0.00    $120.00</t>
        </r>
      </text>
    </comment>
    <comment ref="R2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$0.28
   100   $0.01      $1.15
  1000   $0.01      $5.18
  2500   $0.00     $11.25
  5000   $0.00     $18.55
 15000   $0.00     $48.45</t>
        </r>
      </text>
    </comment>
    <comment ref="U23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23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30000   £0.01    £156.00</t>
        </r>
      </text>
    </comment>
    <comment ref="AB2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50   $0.03      $1.75
   500   $0.03     $13.09
  1500   $0.02     $36.86
  5000   $0.02    $114.80
 25000   $0.02    $556.25
 50000   $0.02  $1,094.50</t>
        </r>
      </text>
    </comment>
    <comment ref="AG2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$0.29
    50   $0.03      $1.45
   100   $0.01      $1.20
  1000   $0.01      $6.00
 10000   $0.00     $50.00</t>
        </r>
      </text>
    </comment>
    <comment ref="AJ23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L2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$0.01      $0.01
  5000   $0.01     $35.00
 10000   $0.01     $60.00
 15000   $0.01     $90.00</t>
        </r>
      </text>
    </comment>
    <comment ref="AQ23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1000   £0.00      £4.00
  5000   £0.00     £20.00
 10000   £0.00     £40.00
 15000   £0.00     £60.00</t>
        </r>
      </text>
    </comment>
    <comment ref="P24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R2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$0.25
    25   $0.02      $0.45
    50   $0.01      $0.68
   100   $0.01      $1.00
   250   $0.01      $1.91
   500   $0.01      $3.06
  1000   $0.00      $4.50
  5000   $0.00     $16.15
 15000   $0.00     $42.15
 30000   $0.00     $74.10
 75000   $0.00    $173.25</t>
        </r>
      </text>
    </comment>
    <comment ref="W24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£0.04      £0.40
   100   £0.02      £2.40
   150   £0.02      £3.60
   500   £0.02      £9.00
  2500   £0.01     £30.00
  7500   £0.01     £67.50
 15000   £0.01     £91.50
 75000   £0.01    £382.50</t>
        </r>
      </text>
    </comment>
    <comment ref="AG2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$0.29
    50   $0.03      $1.45
   100   $0.01      $1.20
  1000   $0.01      $6.00
 10000   $0.00     $40.00</t>
        </r>
      </text>
    </comment>
    <comment ref="AL2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$0.01      $0.01
    25   $0.02      $0.52
   100   $0.01      $0.90
   250   $0.01      $2.00
   500   $0.01      $3.50
  1000   $0.01      $6.00
  2500   $0.00     $12.50
  5000   $0.00     $20.00
 15000   $0.01     $90.00</t>
        </r>
      </text>
    </comment>
    <comment ref="AQ24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1000   £0.00      £4.00
 15000   £0.00     £75.00</t>
        </r>
      </text>
    </comment>
    <comment ref="R2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$0.28
   100   $0.01      $1.15
  1000   $0.01      $5.18
  2500   $0.00     $11.25
  5000   $0.00     $18.55
 15000   $0.00     $48.45</t>
        </r>
      </text>
    </comment>
    <comment ref="U25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25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30000   £0.01    £165.00</t>
        </r>
      </text>
    </comment>
    <comment ref="AG2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$0.31
    50   $0.03      $1.55
   100   $0.01      $1.40
  1000   $0.01      $7.00
 10000   $0.00     $50.00</t>
        </r>
      </text>
    </comment>
    <comment ref="AJ25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L25" authorId="0">
      <text>
        <r>
          <rPr>
            <sz val="8"/>
            <color indexed="81"/>
            <rFont val="Tahoma"/>
            <family val="2"/>
          </rPr>
          <t>Qty/Price Breaks (USD):
  Qty  -  Unit$  -  Ext$
================
 15000   $0.00     $75.00
 30000   $0.00    $120.00</t>
        </r>
      </text>
    </comment>
    <comment ref="AQ25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1000   £0.00      £5.00
  5000   £0.00     £25.00
 10000   £0.00     £50.00
 15000   £0.00     £75.00</t>
        </r>
      </text>
    </comment>
    <comment ref="P26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R2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$0.28
   100   $0.01      $1.15
  1000   $0.01      $5.18
  2500   $0.00     $11.25
  5000   $0.00     $18.55
 15000   $0.00     $48.45</t>
        </r>
      </text>
    </comment>
    <comment ref="U26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26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30000   £0.01    £156.00</t>
        </r>
      </text>
    </comment>
    <comment ref="AE26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G2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$0.31
    50   $0.03      $1.55
   100   $0.01      $1.40
  1000   $0.01      $7.00
 10000   $0.00     $50.00</t>
        </r>
      </text>
    </comment>
    <comment ref="AJ26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L2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$0.01      $0.01
  5000   $0.01     $35.00
 10000   $0.01     $60.00
 15000   $0.01     $90.00</t>
        </r>
      </text>
    </comment>
    <comment ref="R2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$0.28
   100   $0.01      $1.15
  1000   $0.01      $5.18
  2500   $0.00     $11.25
  5000   $0.00     $18.55
 15000   $0.00     $48.45</t>
        </r>
      </text>
    </comment>
    <comment ref="U27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27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30000   £0.01    £210.00</t>
        </r>
      </text>
    </comment>
    <comment ref="AG2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$0.29
    50   $0.03      $1.45
   100   $0.01      $1.20
  1000   $0.01      $6.00
 10000   $0.00     $40.00</t>
        </r>
      </text>
    </comment>
    <comment ref="AJ27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L27" authorId="0">
      <text>
        <r>
          <rPr>
            <sz val="8"/>
            <color indexed="81"/>
            <rFont val="Tahoma"/>
            <family val="2"/>
          </rPr>
          <t>Qty/Price Breaks (USD):
  Qty  -  Unit$  -  Ext$
================
 15000   $0.00     $75.00
 30000   $0.00    $120.00</t>
        </r>
      </text>
    </comment>
    <comment ref="AQ27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1000   £0.00      £5.00
  5000   £0.00     £25.00
 10000   £0.00     £50.00
 15000   £0.00     £60.00</t>
        </r>
      </text>
    </comment>
    <comment ref="R2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$0.05      $0.53
   100   $0.02      $2.17
  1000   $0.01      $9.75
  2500   $0.01     $21.15
  5000   $0.01     $34.95
 15000   $0.01     $91.05</t>
        </r>
      </text>
    </comment>
    <comment ref="U28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28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30000   £0.01    £189.00</t>
        </r>
      </text>
    </comment>
    <comment ref="AG2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$0.05      $0.53
    50   $0.05      $2.65
   100   $0.02      $2.20
  1000   $0.01     $10.00
 10000   $0.01     $70.00</t>
        </r>
      </text>
    </comment>
    <comment ref="P29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R2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$0.05      $0.53
   100   $0.02      $2.17
  1000   $0.01      $9.75
  2500   $0.01     $21.15
  5000   $0.01     $34.95
 15000   $0.01     $91.05</t>
        </r>
      </text>
    </comment>
    <comment ref="U29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29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£0.05      £0.49
   100   £0.02      £1.95
   150   £0.02      £2.92
   500   £0.01      £4.10
  2500   £0.01     £17.00
  7500   £0.01     £45.00
 15000   £0.01     £84.00
 75000   £0.01    £405.00</t>
        </r>
      </text>
    </comment>
    <comment ref="AB2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50   $0.06      $2.93
   500   $0.04     $21.90
  1500   $0.04     $61.61
  5000   $0.04    $191.70
 25000   $0.04    $928.25
 50000   $0.04  $1,826.50</t>
        </r>
      </text>
    </comment>
    <comment ref="AG2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$0.05      $0.53
    50   $0.05      $2.65
   100   $0.02      $2.20
  1000   $0.02     $21.00
 10000   $0.02    $190.00</t>
        </r>
      </text>
    </comment>
    <comment ref="AL2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$0.06      $0.58
    25   $0.06      $1.47
    50   $0.04      $1.80
   100   $0.02      $2.40
   250   $0.02      $5.00
   500   $0.02      $7.50
  1000   $0.01     $11.00
  2500   $0.01     $20.00
 10000   $0.01    $130.00
 15000   $0.01    $195.00
 20000   $0.01    $180.00</t>
        </r>
      </text>
    </comment>
    <comment ref="AQ29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1000   £0.01      £7.00
  5000   £0.01     £30.00
 10000   £0.01     £60.00
 15000   £0.01     £90.00</t>
        </r>
      </text>
    </comment>
    <comment ref="R3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$0.05      $0.53
   100   $0.02      $2.17
  1000   $0.01      $9.75
  2500   $0.01     $21.15
  5000   $0.01     $34.95
 15000   $0.01     $91.05</t>
        </r>
      </text>
    </comment>
    <comment ref="W30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£0.06      £0.56
   100   £0.02      £2.27
   150   £0.02      £3.41
   500   £0.01      £4.85
  2500   £0.01     £20.25
  7500   £0.01     £54.00
 15000   £0.01     £84.00
 75000   £0.01    £405.00</t>
        </r>
      </text>
    </comment>
    <comment ref="AB3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50   $0.06      $2.95
   500   $0.04     $22.12
  1500   $0.04     $62.31
  5000   $0.04    $194.20
 25000   $0.04    $941.00
 50000   $0.04  $1,852.50</t>
        </r>
      </text>
    </comment>
    <comment ref="AG3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$0.05      $0.53
    50   $0.05      $2.65
   100   $0.02      $2.20
  1000   $0.01     $10.00
 10000   $0.01     $70.00</t>
        </r>
      </text>
    </comment>
    <comment ref="AL3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$0.11      $0.11
    10   $0.06      $0.57
    25   $0.05      $1.15
    50   $0.04      $1.75
   100   $0.02      $2.40
   250   $0.02      $5.50
   500   $0.02      $8.00
  1000   $0.01     $11.00
  2500   $0.01     $25.00
  5000   $0.01     $45.00
 10000   $0.01    $130.00
 15000   $0.01    $195.00
 20000   $0.01    $180.00</t>
        </r>
      </text>
    </comment>
    <comment ref="AQ30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1000   £0.01      £7.00
 15000   £0.01     £90.00</t>
        </r>
      </text>
    </comment>
    <comment ref="R3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$0.22      $0.22
    10   $0.21      $2.11
    25   $0.20      $5.00
   100   $0.18     $18.19
   250   $0.17     $42.75
   500   $0.16     $78.22
  1000   $0.13    $130.97
  2500   $0.13    $318.32
  8500   $0.12  $1,020.43
 17000   $0.11  $1,917.26</t>
        </r>
      </text>
    </comment>
    <comment ref="W31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£0.15      £1.51
    50   £0.14      £7.15
   100   £0.13     £13.00
   500   £0.11     £56.00</t>
        </r>
      </text>
    </comment>
    <comment ref="AG3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$0.23      $0.23
    10   $0.22      $2.18
    50   $0.20     $10.05
   100   $0.19     $18.90
  1000   $0.15    $154.00
 10000   $0.15  $1,540.00</t>
        </r>
      </text>
    </comment>
    <comment ref="AL3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$0.16      $0.16
  8500   $0.17  $1,462.00
100000   $0.14 $14,400.00</t>
        </r>
      </text>
    </comment>
    <comment ref="R3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$0.46      $0.46
    10   $0.34      $3.43
    25   $0.30      $7.51
   100   $0.19     $19.45
   250   $0.16     $40.25
   500   $0.13     $64.40
  1000   $0.10     $98.74
  3000   $0.09    $257.58
  6000   $0.08    $463.62
 15000   $0.07  $1,063.05</t>
        </r>
      </text>
    </comment>
    <comment ref="W32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£0.54      £2.72
    10   £0.40      £3.97
   100   £0.18     £18.00
   500   £0.10     £51.50</t>
        </r>
      </text>
    </comment>
    <comment ref="AG3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$0.46      $0.46
    10   $0.34      $3.43
    50   $0.34     $17.15
   100   $0.17     $17.20
  1000   $0.10     $99.00
 10000   $0.08    $770.00</t>
        </r>
      </text>
    </comment>
    <comment ref="AL3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5   $0.40      $2.00
    10   $0.33      $3.26
   100   $0.15     $15.10
  6000   $0.06    $390.00
  9000   $0.06    $585.00
 18000   $0.06  $1,098.00
 48000   $0.06  $2,688.00
 90000   $0.05  $4,770.00</t>
        </r>
      </text>
    </comment>
    <comment ref="AQ32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30   £0.04      £1.05
   120   £0.03      £3.84
  1020   £0.03     £30.60
  3000   £0.03     £87.00
  9000   £0.03    £252.00
 24000   £0.03    £720.00
 45000   £0.03  £1,305.00
 99000   £0.03  £2,772.00</t>
        </r>
      </text>
    </comment>
    <comment ref="R3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$1.97      $1.97
    10   $1.80     $17.98
    25   $1.75     $43.74
    50   $1.74     $87.04
   100   $1.56    $155.60
   250   $1.55    $387.88
   500   $1.53    $764.05
  1000   $1.46  $1,463.22
  5000   $1.36  $6,811.55</t>
        </r>
      </text>
    </comment>
    <comment ref="P34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R3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$6.00      $6.00
    25   $5.25    $131.25
   100   $5.00    $500.50
  2000   $5.00 $10,010.00</t>
        </r>
      </text>
    </comment>
    <comment ref="W34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£4.86      £4.86
    25   £4.26    £106.50
   100   £4.06    £406.00
   150   £4.06    £609.00</t>
        </r>
      </text>
    </comment>
    <comment ref="AE34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G3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$6.06      $6.06
    10   $6.06     $60.60
    50   $5.31    $265.50
   100   $5.06    $506.00
  1000   $5.06  $5,060.00
 10000   $5.05 $50,500.00</t>
        </r>
      </text>
    </comment>
    <comment ref="AL3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$5.56      $5.56
    10   $6.03     $60.30
    25   $5.77    $144.25
  2000   $5.43 $10,860.00
  4000   $5.27 $21,080.00
  8000   $4.95 $39,600.00
 12000   $4.72 $56,640.00</t>
        </r>
      </text>
    </comment>
    <comment ref="P35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R3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$0.47      $0.47
    10   $0.40      $4.02
    25   $0.38      $9.39
   100   $0.30     $30.04
   250   $0.28     $69.73
   500   $0.24    $118.00
  1000   $0.18    $182.36
  3000   $0.18    $531.30</t>
        </r>
      </text>
    </comment>
    <comment ref="U35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35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£0.55      £2.77
    10   £0.46      £4.64
   100   £0.29     £28.60
   150   £0.29     £42.90
   500   £0.19     £94.50</t>
        </r>
      </text>
    </comment>
    <comment ref="AG3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$0.47      $0.47
    10   $0.38      $3.76
    50   $0.38     $18.80
   100   $0.28     $27.90
  1000   $0.18    $183.00
 10000   $0.17  $1,660.00</t>
        </r>
      </text>
    </comment>
    <comment ref="AJ35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L3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$0.65      $0.65
     5   $0.65      $3.23
    10   $0.54      $5.38
   100   $0.38     $38.40
  3000   $0.15    $438.00
  6000   $0.14    $858.00
 12000   $0.14  $1,680.00
 18000   $0.14  $2,484.00
 24000   $0.14  $3,264.00</t>
        </r>
      </text>
    </comment>
    <comment ref="AQ35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18   £0.31      £5.53
   108   £0.16     £16.96
  1008   £0.12    £118.94
  3000   £0.14    £426.00
  3006   £0.10    £291.58
  9000   £0.15  £1,323.00</t>
        </r>
      </text>
    </comment>
    <comment ref="R3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$1.06      $1.06
    10   $0.95      $9.50
    25   $0.90     $22.53
   100   $0.74     $74.04
   250   $0.69    $173.03
   500   $0.61    $305.83
  1000   $0.53    $531.48
  3000   $0.53  $1,594.41</t>
        </r>
      </text>
    </comment>
    <comment ref="W36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£1.25      £6.25
    10   £0.93      £9.29
   100   £0.71     £71.30
   500   £0.50    £248.50</t>
        </r>
      </text>
    </comment>
    <comment ref="AB3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$5.12      $5.12
    10   $3.80     $38.00
    30   $3.55    $106.50
   100   $3.31    $331.00
   500   $3.20  $1,600.00
  1000   $3.15  $3,150.00</t>
        </r>
      </text>
    </comment>
    <comment ref="AG3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$1.06      $1.06
    10   $0.95      $9.50
    50   $0.90     $45.10
   100   $0.74     $74.10
  1000   $0.49    $486.00
 10000   $0.47  $4,700.00</t>
        </r>
      </text>
    </comment>
    <comment ref="AL3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$0.44      $0.44
     5   $1.33      $6.65
    10   $1.18     $11.80
   100   $0.86     $85.60
  3000   $0.44  $1,308.00
  9000   $0.42  $3,762.00
 24000   $0.39  $9,312.00</t>
        </r>
      </text>
    </comment>
    <comment ref="P37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R3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2000   $1.61  $3,220.00</t>
        </r>
      </text>
    </comment>
    <comment ref="AB3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$7.58      $7.58
    10   $5.55     $55.50
    30   $5.18    $155.40
   100   $4.80    $480.00
   500   $4.64  $2,320.00
  1000   $4.56  $4,560.00</t>
        </r>
      </text>
    </comment>
    <comment ref="AG3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$2.87      $2.87
    10   $2.59     $25.90
    50   $2.44    $122.00
   100   $2.08    $208.00
  1000   $1.42  $1,420.00
 10000   $1.41 $14,100.00</t>
        </r>
      </text>
    </comment>
    <comment ref="P38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R3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$3.90      $3.90
    10   $3.85     $38.50</t>
        </r>
      </text>
    </comment>
    <comment ref="U38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38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£3.86      £3.86
    10   £3.11     £31.10
    25   £2.93     £73.25
    50   £2.87    £143.50</t>
        </r>
      </text>
    </comment>
    <comment ref="AE38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G3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$3.93      $3.93
    10   $3.54     $35.40
    50   $3.34    $167.00
   100   $2.90    $290.00
  1000   $2.80  $2,800.00
 10000   $2.79 $27,900.00</t>
        </r>
      </text>
    </comment>
    <comment ref="AJ38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L3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$4.49      $4.49
    10   $4.43     $44.30
  2450   $4.43 $10,853.50</t>
        </r>
      </text>
    </comment>
    <comment ref="P39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R3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$0.26      $0.26
    10   $0.24      $2.39
    25   $0.23      $5.70
    50   $0.22     $11.04
   100   $0.21     $21.34
   250   $0.20     $50.60
   500   $0.17     $84.64
  1000   $0.13    $131.38
  4000   $0.13    $500.48
  8000   $0.12    $942.08
 12000   $0.11  $1,324.80
 28000   $0.10  $2,885.12</t>
        </r>
      </text>
    </comment>
    <comment ref="W39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£0.53      £2.66
    10   £0.42      £4.24
   100   £0.26     £25.80
   150   £0.26     £38.70
   500   £0.14     £72.00</t>
        </r>
      </text>
    </comment>
    <comment ref="AE39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G3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$0.45      $0.45
    10   $0.37      $3.67
    50   $0.37     $18.35
   100   $0.25     $25.00
  1000   $0.14    $141.00
 10000   $0.12  $1,170.00</t>
        </r>
      </text>
    </comment>
    <comment ref="AL3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$0.27      $0.27
    10   $0.26      $2.58
   100   $0.23     $23.20
  3000   $0.13    $393.00
  4000   $0.13    $524.00
  6000   $0.12    $702.00
 12000   $0.11  $1,272.00
 18000   $0.10  $1,764.00
 30000   $0.09  $2,730.00</t>
        </r>
      </text>
    </comment>
    <comment ref="AQ39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50   £0.29     £14.40
   100   £0.22     £22.20
  1000   £0.21    £214.00
  4000   £0.20    £800.00
  8000   £0.18  £1,440.00
 24000   £0.08  £1,944.00
 48000   £0.07  £3,552.00
100000   £0.07  £7,200.00</t>
        </r>
      </text>
    </comment>
    <comment ref="AT39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V39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£0.17      £0.87
    25   £0.15      £3.82
   100   £0.13     £13.21
   500   £0.12     £57.76
  2000   £0.11    £215.62</t>
        </r>
      </text>
    </comment>
    <comment ref="R4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$0.66      $0.66
    25   $0.56     $14.00
   100   $0.54     $54.00
  3000   $0.54  $1,620.00</t>
        </r>
      </text>
    </comment>
    <comment ref="W40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£0.81      £0.81
    25   £0.62     £15.58
   100   £0.54     £53.50
   150   £0.54     £80.25</t>
        </r>
      </text>
    </comment>
    <comment ref="AG4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$0.66      $0.66
    10   $0.66      $6.60
    50   $0.56     $28.00
   100   $0.52     $52.20
  1000   $0.52    $522.00
 10000   $0.52  $5,220.00</t>
        </r>
      </text>
    </comment>
    <comment ref="AL4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$0.87      $0.87
    10   $0.80      $7.98
    25   $0.73     $18.22
  3000   $0.53  $1,584.00</t>
        </r>
      </text>
    </comment>
    <comment ref="AQ40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20   £0.48      £9.62
    40   £0.46     £18.40
   100   £0.42     £41.50
  3000   £0.38  £1,152.00</t>
        </r>
      </text>
    </comment>
    <comment ref="AT40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V40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£0.62      £0.62
    10   £0.57      £5.70
    25   £0.52     £13.00
   100   £0.47     £47.00</t>
        </r>
      </text>
    </comment>
    <comment ref="R4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$1.62      $1.62
    10   $1.55     $15.48
    50   $1.51     $75.60
   100   $1.30    $129.60
   500   $1.26    $630.00
  1000   $1.06  $1,062.00
  3000   $1.01  $3,024.00</t>
        </r>
      </text>
    </comment>
    <comment ref="W42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£1.28      £6.40
    10   £1.28     £12.80
    50   £1.07     £53.50
   250   £0.97    £242.00
   500   £0.94    £472.50
  1500   £0.92  £1,383.00</t>
        </r>
      </text>
    </comment>
    <comment ref="AG4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$1.80      $1.80
    10   $1.72     $17.20
    50   $1.68     $84.00
   100   $1.44    $144.00
  1000   $1.15  $1,150.00
 10000   $1.08 $10,800.00</t>
        </r>
      </text>
    </comment>
    <comment ref="AL4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$2.48      $2.48
     5   $2.48     $12.40
    10   $2.36     $23.60
    25   $2.34     $58.50
    50   $2.31    $115.50
   100   $1.98    $198.00
  1000   $1.34  $1,340.00
  2000   $1.28  $2,560.00
  3000   $1.28  $3,840.00
  4000   $1.17  $4,680.00
  6000   $1.12  $6,720.00
 10000   $1.09 $10,900.00</t>
        </r>
      </text>
    </comment>
    <comment ref="I44" authorId="0">
      <text>
        <r>
          <rPr>
            <sz val="8"/>
            <color indexed="81"/>
            <rFont val="Tahoma"/>
            <family val="2"/>
          </rPr>
          <t>This is the total of your cart across all distributors.</t>
        </r>
      </text>
    </comment>
    <comment ref="L44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Q44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V44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A44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F44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K44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P44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U44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I45" authorId="0">
      <text>
        <r>
          <rPr>
            <sz val="8"/>
            <color indexed="81"/>
            <rFont val="Tahoma"/>
            <family val="2"/>
          </rPr>
          <t>This description will be added to all purchased parts label and may be used to distinguish the component of different projects.</t>
        </r>
      </text>
    </comment>
    <comment ref="AA45" authorId="0">
      <text>
        <r>
          <rPr>
            <sz val="8"/>
            <color indexed="81"/>
            <rFont val="Tahoma"/>
            <family val="2"/>
          </rPr>
          <t>Copy this header and order to CSV file and use for JLCPCB manufacture PCB housing. The multipart components that use "#" symbol is not allowed at JLCPCB.</t>
        </r>
      </text>
    </comment>
  </commentList>
</comments>
</file>

<file path=xl/sharedStrings.xml><?xml version="1.0" encoding="utf-8"?>
<sst xmlns="http://schemas.openxmlformats.org/spreadsheetml/2006/main" count="621" uniqueCount="352">
  <si>
    <t>Global Part Info</t>
  </si>
  <si>
    <t>Refs</t>
  </si>
  <si>
    <t>Value</t>
  </si>
  <si>
    <t>Desc</t>
  </si>
  <si>
    <t>Footprint</t>
  </si>
  <si>
    <t>Manf</t>
  </si>
  <si>
    <t>Manf#</t>
  </si>
  <si>
    <t>Qty</t>
  </si>
  <si>
    <t>Unit$</t>
  </si>
  <si>
    <t>Ext$</t>
  </si>
  <si>
    <t>Notes</t>
  </si>
  <si>
    <t>C13</t>
  </si>
  <si>
    <t>1uF</t>
  </si>
  <si>
    <t>CAP CER 4.7uF 16V 20% X5R 0603</t>
  </si>
  <si>
    <t>C_0603_1608Metric</t>
  </si>
  <si>
    <t>Murata</t>
  </si>
  <si>
    <t>GRM188R61C475ME11D</t>
  </si>
  <si>
    <t>9V/12V DC DERATED TO 1uF</t>
  </si>
  <si>
    <t>C14,C15</t>
  </si>
  <si>
    <t>10uF</t>
  </si>
  <si>
    <t>CAP TANT 10uF 6.3V 20% 0603</t>
  </si>
  <si>
    <t>Vishay</t>
  </si>
  <si>
    <t>TMCJ0J106MTRF</t>
  </si>
  <si>
    <t>1.65V DC 1.5V AC AUDIO</t>
  </si>
  <si>
    <t>C4,C8,C23</t>
  </si>
  <si>
    <t>CAP CER 1uF 6.3V 20% X6S 0201</t>
  </si>
  <si>
    <t>C_0201_0603Metric</t>
  </si>
  <si>
    <t>GRM033C80J105ME05D</t>
  </si>
  <si>
    <t>1.2V DC</t>
  </si>
  <si>
    <t>C6,C7,C16</t>
  </si>
  <si>
    <t>CAP CER 4.7uF 6.3V 20% X5R 0201</t>
  </si>
  <si>
    <t>GRM035R60J475ME15D</t>
  </si>
  <si>
    <t>3.3V DC DERATED TO 1uF</t>
  </si>
  <si>
    <t>C1-C3,C5</t>
  </si>
  <si>
    <t>CAP CER 2.2uF 16V 10% X6S 0402</t>
  </si>
  <si>
    <t>C_0402_1005Metric</t>
  </si>
  <si>
    <t>GRM155C81C225KE11D</t>
  </si>
  <si>
    <t>5V DC DERATED TO 1uF</t>
  </si>
  <si>
    <t>C9-C12,C17-C22,C24,C25</t>
  </si>
  <si>
    <t>0.1uF</t>
  </si>
  <si>
    <t>CAP CER 0.22uF 6.3V 20% X5R 0201</t>
  </si>
  <si>
    <t>GRM033R60J224KE15D</t>
  </si>
  <si>
    <t>C9,C20: 1.2V DC DERATED TO 0.1uF
C12: 1.65V DC VAG DERATED TO 0.1uF
C10,C11,C17-C19,C21,C22,C24,C25: 3.3V DC DERATED TO 0.1uF</t>
  </si>
  <si>
    <t>D1</t>
  </si>
  <si>
    <t>BAV70W</t>
  </si>
  <si>
    <t>DIODE DUAL COMMON CATHODE VR=100V SOT-323-3</t>
  </si>
  <si>
    <t>SOT-323_SC-70</t>
  </si>
  <si>
    <t>Nexperia</t>
  </si>
  <si>
    <t>BAV70W,115</t>
  </si>
  <si>
    <t>REPLACEMENT PARTS: onsemi BAV70WT1G, Panjit BAV70W_R1_00001, Diodes BAV70W-7-F, MCC BAV70WT-TP</t>
  </si>
  <si>
    <t>D2</t>
  </si>
  <si>
    <t>SML-LX0201USBC-TR</t>
  </si>
  <si>
    <t>LED BLUE Vf=2.6V If=2mA 15mcd 0201</t>
  </si>
  <si>
    <t>SML-LX0201</t>
  </si>
  <si>
    <t>Lumex</t>
  </si>
  <si>
    <t>D3</t>
  </si>
  <si>
    <t>SML-LX0201UPGC-TR</t>
  </si>
  <si>
    <t>LED GREEN Vf=2.5V If=2mA 100mcd 0201</t>
  </si>
  <si>
    <t>J1</t>
  </si>
  <si>
    <t>Conn_01x01</t>
  </si>
  <si>
    <t>CONN HDR SQ PIN 0.64mm 1 POS .100" GOLD MATING 6mm TAIL 3mm</t>
  </si>
  <si>
    <t>PinHeader_1x01_P2.54mm_Vertical</t>
  </si>
  <si>
    <t>J2</t>
  </si>
  <si>
    <t>Conn_01x05</t>
  </si>
  <si>
    <t>CONN HDR SQ PIN 0.64mm 5 POS .100" GOLD MATING 6mm TAIL 3mm</t>
  </si>
  <si>
    <t>PinHeader_1x05_P2.54mm_Vertical</t>
  </si>
  <si>
    <t>J3</t>
  </si>
  <si>
    <t>Conn_01x14</t>
  </si>
  <si>
    <t>CONN HDR ROUND PIN 0.5mm 14 POS .100" GOLD MATING 3.5mm TAIL 3mm</t>
  </si>
  <si>
    <t>PinHeader_1x14_P2.54mm_Vertical_Machined</t>
  </si>
  <si>
    <t>J4</t>
  </si>
  <si>
    <t>Conn_01x10</t>
  </si>
  <si>
    <t>CONN HDR ROUND PIN 0.5mm 10 POS .100" GOLD MATING 3.5mm TAIL 3mm</t>
  </si>
  <si>
    <t>PinHeader_1x10_P2.54mm_Vertical_Machined</t>
  </si>
  <si>
    <t>J5</t>
  </si>
  <si>
    <t>TYPE-C-31-M-12</t>
  </si>
  <si>
    <t>CONN USB-C</t>
  </si>
  <si>
    <t>USB_C_Receptacle_HRO_TYPE-C-31-M-12</t>
  </si>
  <si>
    <t>HRO</t>
  </si>
  <si>
    <t>REPLACEMENT PARTS: GCT USB4105</t>
  </si>
  <si>
    <t>R1,R6,R7</t>
  </si>
  <si>
    <t>20k</t>
  </si>
  <si>
    <t>RES 20kΩ 50mW 1% 0201</t>
  </si>
  <si>
    <t>R_0201_0603Metric</t>
  </si>
  <si>
    <t>Panasonic</t>
  </si>
  <si>
    <t>ERJ-1GNF2002C</t>
  </si>
  <si>
    <t>R10,R11</t>
  </si>
  <si>
    <t>5.1k</t>
  </si>
  <si>
    <t>RES 5.1kΩ 50mW 5% 0201</t>
  </si>
  <si>
    <t>ERJ-1GNJ512C</t>
  </si>
  <si>
    <t>R12</t>
  </si>
  <si>
    <t>100</t>
  </si>
  <si>
    <t>RES 100Ω 50mW 5% 0201</t>
  </si>
  <si>
    <t>ERJ-1GNJ101C</t>
  </si>
  <si>
    <t>R18,R19</t>
  </si>
  <si>
    <t>0</t>
  </si>
  <si>
    <t>RES 0Ω 50mW 1% 0201</t>
  </si>
  <si>
    <t>ERJ-1GN0R00C</t>
  </si>
  <si>
    <t>R2,R3,R15</t>
  </si>
  <si>
    <t>2.2k</t>
  </si>
  <si>
    <t>RES 2.2kΩ 50mW 5% 0201</t>
  </si>
  <si>
    <t>ERJ-1GNJ222C</t>
  </si>
  <si>
    <t>R20</t>
  </si>
  <si>
    <t>22</t>
  </si>
  <si>
    <t>RES 22Ω 50mW 5% 0201</t>
  </si>
  <si>
    <t>ERJ-1GNJ220C</t>
  </si>
  <si>
    <t>R4,R14</t>
  </si>
  <si>
    <t>1.5k</t>
  </si>
  <si>
    <t>RES 1.5kΩ 50mW 5% 0201</t>
  </si>
  <si>
    <t>ERJ-1GNJ152C</t>
  </si>
  <si>
    <t>R5</t>
  </si>
  <si>
    <t>402k</t>
  </si>
  <si>
    <t>RES 402kΩ 50mW 1% 0201</t>
  </si>
  <si>
    <t>ERJ-1GNF4023C</t>
  </si>
  <si>
    <t>R8</t>
  </si>
  <si>
    <t>100k</t>
  </si>
  <si>
    <t>RES 100kΩ 50mW 1% 0201</t>
  </si>
  <si>
    <t>ERJ-1GNF1003C</t>
  </si>
  <si>
    <t>R9,R13,R16,R17</t>
  </si>
  <si>
    <t>10k</t>
  </si>
  <si>
    <t>RES 10kΩ 50mW 1% 0201</t>
  </si>
  <si>
    <t>ERJ-1GNF1002C</t>
  </si>
  <si>
    <t>SW1</t>
  </si>
  <si>
    <t>KXT311LHS</t>
  </si>
  <si>
    <t>SW TACT 3.0 x 2.0 mm</t>
  </si>
  <si>
    <t>SW_SPST_CK_KXT3</t>
  </si>
  <si>
    <t>C&amp;K</t>
  </si>
  <si>
    <t>U1,U3</t>
  </si>
  <si>
    <t>NCP115AMX120TCG</t>
  </si>
  <si>
    <t>IC REG LDO 1.2V 300mA XDFN4</t>
  </si>
  <si>
    <t>CASE_711AJ_1.0x1.0mm_P0.65mm</t>
  </si>
  <si>
    <t>onsemi</t>
  </si>
  <si>
    <t>U10</t>
  </si>
  <si>
    <t>W25Q128JVPIM</t>
  </si>
  <si>
    <t>IC FLASH 128Mbit WSON-8</t>
  </si>
  <si>
    <t>WSON-8-1EP_6x5mm_P1.27mm_EP3.4x4.3mm</t>
  </si>
  <si>
    <t>Winbond</t>
  </si>
  <si>
    <t>ALTERNATIVE PART #: W25Q128JVPIM TR</t>
  </si>
  <si>
    <t>U11</t>
  </si>
  <si>
    <t>ICE40UP5K-SG48I</t>
  </si>
  <si>
    <t>IC FPGA QFN-48</t>
  </si>
  <si>
    <t>QFN-48-1EP_7x7mm_P0.5mm_EP5.6x5.6mm</t>
  </si>
  <si>
    <t>Lattice</t>
  </si>
  <si>
    <t>U2</t>
  </si>
  <si>
    <t>NCP167AMX330TBG</t>
  </si>
  <si>
    <t>IC REG LDO 3.3V 700mA XDFN4</t>
  </si>
  <si>
    <t>U4</t>
  </si>
  <si>
    <t>FPF1321UCX</t>
  </si>
  <si>
    <t>IC PWR SWITCH 1.5A WLCSP-6</t>
  </si>
  <si>
    <t>CASE567RM_1.46x0.96mm_P0.5mm</t>
  </si>
  <si>
    <t>U5</t>
  </si>
  <si>
    <t>SN74CBTD16211DGVR</t>
  </si>
  <si>
    <t>IC BUS SWITCH WITH LEVEL SHIFTER TVSOP-56</t>
  </si>
  <si>
    <t>Texas_TVSOP-56_4.4x11.3mm_P0.4mm</t>
  </si>
  <si>
    <t>TI</t>
  </si>
  <si>
    <t>U6</t>
  </si>
  <si>
    <t>SGTL5000XNLA3</t>
  </si>
  <si>
    <t>IC AUDIO CODEC UQFN-20</t>
  </si>
  <si>
    <t>QFN-20-1EP_3x3mm_P0.4mm_EP1.65x1.65mm</t>
  </si>
  <si>
    <t>NXP</t>
  </si>
  <si>
    <t>ALTERNATIVE PART #: SGTL5000XNLA3R2</t>
  </si>
  <si>
    <t>U7</t>
  </si>
  <si>
    <t>NUF2042XV6</t>
  </si>
  <si>
    <t>IC USB TERMINATOR ESD PROTECTION SOT-563</t>
  </si>
  <si>
    <t>CASE_463A_1.6x1.2mm_P0.5mm</t>
  </si>
  <si>
    <t>NUF2042XV6T1G</t>
  </si>
  <si>
    <t>U8</t>
  </si>
  <si>
    <t>MCP6H01T-E/OT</t>
  </si>
  <si>
    <t>IC OPAMP SOT-23-5</t>
  </si>
  <si>
    <t>SOT-23-5</t>
  </si>
  <si>
    <t>Microchip</t>
  </si>
  <si>
    <t>U9</t>
  </si>
  <si>
    <t>LY68L6400SLIT</t>
  </si>
  <si>
    <t>IC PSRAM 64Mbit SOP-8</t>
  </si>
  <si>
    <t>SOP-8_3.9x4.9mm_P1.27mm</t>
  </si>
  <si>
    <t>Lyontek</t>
  </si>
  <si>
    <t>REPLACEMENT PARTS: AP Memory APS6404L-3SQR-SN, Espressif ESP-PSRAM64H, IPUS IPS6404L-SQ</t>
  </si>
  <si>
    <t>X1</t>
  </si>
  <si>
    <t>ASCO-24.000MHZ-EK-T3</t>
  </si>
  <si>
    <t>OSC 24 MHz 30 ppm 1.6x1.2 mm</t>
  </si>
  <si>
    <t>Oscillator_SMD-4Pin_1.6x1.2mm</t>
  </si>
  <si>
    <t>Abracon</t>
  </si>
  <si>
    <t>REPLACEMENT PARTS: ECS ECS-1612MV-240-CN-TR</t>
  </si>
  <si>
    <t>Total Purchase:</t>
  </si>
  <si>
    <t>Purchase description:</t>
  </si>
  <si>
    <t>Used currency rates:</t>
  </si>
  <si>
    <t>USD($)/GBP(£):</t>
  </si>
  <si>
    <t>Prj:</t>
  </si>
  <si>
    <t>reDIP SID</t>
  </si>
  <si>
    <t>Co.:</t>
  </si>
  <si>
    <t>Nimrod</t>
  </si>
  <si>
    <t>Prj date:</t>
  </si>
  <si>
    <t>Sat Aug 28 10:53:18 2021</t>
  </si>
  <si>
    <t>Board Qty:</t>
  </si>
  <si>
    <t>Total Cost:</t>
  </si>
  <si>
    <t>Unit Cost:</t>
  </si>
  <si>
    <t>$ date:</t>
  </si>
  <si>
    <t>2021-08-28 10:53:20</t>
  </si>
  <si>
    <t>Arrow</t>
  </si>
  <si>
    <t>Avail</t>
  </si>
  <si>
    <t>Purch</t>
  </si>
  <si>
    <t>Cat#</t>
  </si>
  <si>
    <t>Buy here</t>
  </si>
  <si>
    <t>Digi-Key</t>
  </si>
  <si>
    <t>490-14638-1-ND</t>
  </si>
  <si>
    <t>NonStk</t>
  </si>
  <si>
    <t>718-2355-1-ND</t>
  </si>
  <si>
    <t>490-13218-1-ND</t>
  </si>
  <si>
    <t>490-13230-1-ND</t>
  </si>
  <si>
    <t>490-14595-1-ND</t>
  </si>
  <si>
    <t>490-10406-1-ND</t>
  </si>
  <si>
    <t>1727-4831-1-ND</t>
  </si>
  <si>
    <t>67-2283-1-ND</t>
  </si>
  <si>
    <t>67-2282-1-ND</t>
  </si>
  <si>
    <t>P122813CT-ND</t>
  </si>
  <si>
    <t>P123340CT-ND</t>
  </si>
  <si>
    <t>P123220CT-ND</t>
  </si>
  <si>
    <t>P15979CT-ND</t>
  </si>
  <si>
    <t>P123277CT-ND</t>
  </si>
  <si>
    <t>P123275CT-ND</t>
  </si>
  <si>
    <t>P123246CT-ND</t>
  </si>
  <si>
    <t>P122994CT-ND</t>
  </si>
  <si>
    <t>P122655CT-ND</t>
  </si>
  <si>
    <t>P122414CT-ND</t>
  </si>
  <si>
    <t>CKN10777CT-ND</t>
  </si>
  <si>
    <t>NCP115AMX120TCGOSCT-ND</t>
  </si>
  <si>
    <t>W25Q128JVPIM-ND</t>
  </si>
  <si>
    <t>220-2212-1-ND</t>
  </si>
  <si>
    <t>NCP167AMX330TBGOSCT-ND</t>
  </si>
  <si>
    <t>FPF1321UCXCT-ND</t>
  </si>
  <si>
    <t>296-6475-2-ND</t>
  </si>
  <si>
    <t>SGTL5000XNLA3-ND</t>
  </si>
  <si>
    <t>NUF2042XV6T1GOSCT-ND</t>
  </si>
  <si>
    <t>MCP6H01T-E/OTCT-ND</t>
  </si>
  <si>
    <t>535-12073-1-ND</t>
  </si>
  <si>
    <t>Farnell</t>
  </si>
  <si>
    <t>3581379</t>
  </si>
  <si>
    <t>2491414</t>
  </si>
  <si>
    <t>3582762</t>
  </si>
  <si>
    <t>3238402</t>
  </si>
  <si>
    <t>3581345</t>
  </si>
  <si>
    <t>2990684</t>
  </si>
  <si>
    <t>1081209</t>
  </si>
  <si>
    <t>2775247</t>
  </si>
  <si>
    <t>2775246</t>
  </si>
  <si>
    <t>2302370</t>
  </si>
  <si>
    <t>3303281</t>
  </si>
  <si>
    <t>3303148</t>
  </si>
  <si>
    <t>2799511</t>
  </si>
  <si>
    <t>3303211</t>
  </si>
  <si>
    <t>3303209</t>
  </si>
  <si>
    <t>3303177</t>
  </si>
  <si>
    <t>3302944</t>
  </si>
  <si>
    <t>2302389</t>
  </si>
  <si>
    <t>2302362</t>
  </si>
  <si>
    <t>3023197</t>
  </si>
  <si>
    <t>3010452</t>
  </si>
  <si>
    <t>3768741</t>
  </si>
  <si>
    <t>2981158</t>
  </si>
  <si>
    <t>2825044</t>
  </si>
  <si>
    <t>2308050</t>
  </si>
  <si>
    <t>2824959</t>
  </si>
  <si>
    <t>2851675</t>
  </si>
  <si>
    <t>3573055RL</t>
  </si>
  <si>
    <t>LCSC</t>
  </si>
  <si>
    <t>C415373</t>
  </si>
  <si>
    <t>C335103</t>
  </si>
  <si>
    <t>C76931</t>
  </si>
  <si>
    <t>C165948</t>
  </si>
  <si>
    <t>C713490</t>
  </si>
  <si>
    <t>C713500</t>
  </si>
  <si>
    <t>C717003</t>
  </si>
  <si>
    <t>C717002</t>
  </si>
  <si>
    <t>C891222</t>
  </si>
  <si>
    <t>C2683750</t>
  </si>
  <si>
    <t>Mouser</t>
  </si>
  <si>
    <t>81GRM188R61C475ME1D</t>
  </si>
  <si>
    <t>74TMCJ0J106MTRF</t>
  </si>
  <si>
    <t>81GRM033C80J105ME5D</t>
  </si>
  <si>
    <t>81GRM035R60J475ME5D</t>
  </si>
  <si>
    <t>81GRM155C81C225KE1D</t>
  </si>
  <si>
    <t>81GRM33R60J224KE15D</t>
  </si>
  <si>
    <t>771BAV70WT/R</t>
  </si>
  <si>
    <t>696SMLLX0201USBCTR</t>
  </si>
  <si>
    <t>696SMLLX0201UPGCTR</t>
  </si>
  <si>
    <t>667ERJ1GNF2002C</t>
  </si>
  <si>
    <t>667ERJ1GNJ512C</t>
  </si>
  <si>
    <t>667ERJ1GNJ101C</t>
  </si>
  <si>
    <t>667ERJ1GN0R00C</t>
  </si>
  <si>
    <t>667ERJ1GNJ222C</t>
  </si>
  <si>
    <t>667ERJ1GNJ220C</t>
  </si>
  <si>
    <t>667ERJ1GNJ152C</t>
  </si>
  <si>
    <t>667ERJ1GNF4023C</t>
  </si>
  <si>
    <t>667ERJ1GNF1003C</t>
  </si>
  <si>
    <t>667ERJ1GNF1002C</t>
  </si>
  <si>
    <t>611KXT311LHS</t>
  </si>
  <si>
    <t>863NCP115AMX120TCG</t>
  </si>
  <si>
    <t>842ICE40UP5KSG48I</t>
  </si>
  <si>
    <t>863NCP167AMX330TBG</t>
  </si>
  <si>
    <t>512FPF1321UCX</t>
  </si>
  <si>
    <t>59574CBTD16211DGVR</t>
  </si>
  <si>
    <t>841SGTL5000XNLA3</t>
  </si>
  <si>
    <t>863NUF2042XV6T1G</t>
  </si>
  <si>
    <t>579MCP6H01TE/OT</t>
  </si>
  <si>
    <t>815ASCO24EKT3</t>
  </si>
  <si>
    <t>Newark</t>
  </si>
  <si>
    <t>92AH5109</t>
  </si>
  <si>
    <t>56Y0084</t>
  </si>
  <si>
    <t>03AJ1531</t>
  </si>
  <si>
    <t>34AH0743</t>
  </si>
  <si>
    <t>92AH5000</t>
  </si>
  <si>
    <t>94AC8892</t>
  </si>
  <si>
    <t>96K6775</t>
  </si>
  <si>
    <t>30AC6125</t>
  </si>
  <si>
    <t>30AC6124</t>
  </si>
  <si>
    <t>36AJ9148</t>
  </si>
  <si>
    <t>51W5889</t>
  </si>
  <si>
    <t>51W5773</t>
  </si>
  <si>
    <t>51W5934</t>
  </si>
  <si>
    <t>51W5827</t>
  </si>
  <si>
    <t>51W5825</t>
  </si>
  <si>
    <t>51W5799</t>
  </si>
  <si>
    <t>85Y7485</t>
  </si>
  <si>
    <t>85Y7484</t>
  </si>
  <si>
    <t>35AH1367</t>
  </si>
  <si>
    <t>97AC7838</t>
  </si>
  <si>
    <t>50AJ3298</t>
  </si>
  <si>
    <t>84AC7230</t>
  </si>
  <si>
    <t>46AC0851</t>
  </si>
  <si>
    <t>14R9111</t>
  </si>
  <si>
    <t>46AC1428</t>
  </si>
  <si>
    <t>55AC2730</t>
  </si>
  <si>
    <t>89AH0815</t>
  </si>
  <si>
    <t>RS Components</t>
  </si>
  <si>
    <t>1882240</t>
  </si>
  <si>
    <t>1852023</t>
  </si>
  <si>
    <t>4367852</t>
  </si>
  <si>
    <t>1797129</t>
  </si>
  <si>
    <t>1763574</t>
  </si>
  <si>
    <t>1797128</t>
  </si>
  <si>
    <t>1797145</t>
  </si>
  <si>
    <t>1797130</t>
  </si>
  <si>
    <t>1763597</t>
  </si>
  <si>
    <t>1861527</t>
  </si>
  <si>
    <t>1859325</t>
  </si>
  <si>
    <t>8051879</t>
  </si>
  <si>
    <t>1773191</t>
  </si>
  <si>
    <t>TME</t>
  </si>
  <si>
    <t>SMLLX0201USBCTR</t>
  </si>
  <si>
    <t>SMLLX0201UPGCTR</t>
  </si>
  <si>
    <t>MCP6H01TE/OT</t>
  </si>
  <si>
    <t>KiCost® v.1.1.5</t>
  </si>
</sst>
</file>

<file path=xl/styles.xml><?xml version="1.0" encoding="utf-8"?>
<styleSheet xmlns="http://schemas.openxmlformats.org/spreadsheetml/2006/main">
  <numFmts count="1">
    <numFmt numFmtId="164" formatCode="$#,##0.00"/>
    <numFmt numFmtId="164" formatCode="$#,##0.00"/>
    <numFmt numFmtId="164" formatCode="$#,##0.00"/>
  </numFmts>
  <fonts count="1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909090"/>
      <name val="Calibri"/>
      <family val="2"/>
      <scheme val="minor"/>
    </font>
    <font>
      <u/>
      <sz val="11"/>
      <color theme="10"/>
      <name val="Calibri"/>
      <family val="2"/>
    </font>
    <font>
      <sz val="8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rgb="FF30303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1166DD"/>
        <bgColor indexed="64"/>
      </patternFill>
    </fill>
    <fill>
      <patternFill patternType="solid">
        <fgColor rgb="FF004A85"/>
        <bgColor indexed="64"/>
      </patternFill>
    </fill>
    <fill>
      <patternFill patternType="solid">
        <fgColor rgb="FFA2AE0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C4DA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right"/>
    </xf>
    <xf numFmtId="164" fontId="3" fillId="0" borderId="0" xfId="0" applyNumberFormat="1" applyFont="1" applyAlignment="1">
      <alignment vertical="center"/>
    </xf>
    <xf numFmtId="164" fontId="4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6" fillId="2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6" fillId="7" borderId="0" xfId="0" applyFont="1" applyFill="1" applyAlignment="1">
      <alignment horizontal="center" vertical="center"/>
    </xf>
    <xf numFmtId="0" fontId="6" fillId="8" borderId="0" xfId="0" applyFont="1" applyFill="1" applyAlignment="1">
      <alignment horizontal="center" vertical="center"/>
    </xf>
    <xf numFmtId="0" fontId="6" fillId="9" borderId="0" xfId="0" applyFont="1" applyFill="1" applyAlignment="1">
      <alignment horizontal="center" vertical="center"/>
    </xf>
    <xf numFmtId="0" fontId="6" fillId="10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top" wrapText="1"/>
    </xf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0" fontId="8" fillId="0" borderId="0" xfId="0" applyFont="1" applyAlignment="1">
      <alignment horizontal="right" vertical="center"/>
    </xf>
    <xf numFmtId="0" fontId="9" fillId="0" borderId="0" xfId="1" applyAlignment="1" applyProtection="1"/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5">
    <dxf>
      <fill>
        <patternFill>
          <bgColor rgb="FFAAAAAA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ill>
        <patternFill>
          <bgColor rgb="FFFFFF00"/>
        </patternFill>
      </fill>
    </dxf>
    <dxf>
      <fill>
        <patternFill>
          <bgColor rgb="FF80FF8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urata.com/products/productdetail.aspx?partno=GRM188R61C475ME11D" TargetMode="External"/><Relationship Id="rId2" Type="http://schemas.openxmlformats.org/officeDocument/2006/relationships/hyperlink" Target="https://octopart.com/click/track?c=1&amp;ai=8078&amp;sig=0445c4b&amp;sid=459&amp;ppid=46693351&amp;vpid=410305374&amp;ct=offers" TargetMode="External"/><Relationship Id="rId3" Type="http://schemas.openxmlformats.org/officeDocument/2006/relationships/hyperlink" Target="https://octopart.com/click/track?ai=8078&amp;sig=0e88e51&amp;sid=11744&amp;ppid=46693351&amp;vpid=667012264&amp;ct=offers" TargetMode="External"/><Relationship Id="rId4" Type="http://schemas.openxmlformats.org/officeDocument/2006/relationships/hyperlink" Target="https://octopart.com/click/track?ai=8078&amp;sig=09b8947&amp;sid=27971&amp;ppid=46693351&amp;vpid=583025469&amp;ct=offers" TargetMode="External"/><Relationship Id="rId5" Type="http://schemas.openxmlformats.org/officeDocument/2006/relationships/hyperlink" Target="https://octopart.com/click/track?c=1&amp;ai=8078&amp;sig=0b11af4&amp;sid=2401&amp;ppid=46693351&amp;vpid=238592031&amp;ct=offers" TargetMode="External"/><Relationship Id="rId6" Type="http://schemas.openxmlformats.org/officeDocument/2006/relationships/hyperlink" Target="https://octopart.com/click/track?ai=8078&amp;sig=07b4992&amp;sid=2402&amp;ppid=46693351&amp;vpid=669036411&amp;ct=offers" TargetMode="External"/><Relationship Id="rId7" Type="http://schemas.openxmlformats.org/officeDocument/2006/relationships/hyperlink" Target="https://www.vishay.com/docs/40176/tmcj.pdf" TargetMode="External"/><Relationship Id="rId8" Type="http://schemas.openxmlformats.org/officeDocument/2006/relationships/hyperlink" Target="https://octopart.com/click/track?c=1&amp;ai=8078&amp;sig=0f93a07&amp;sid=459&amp;ppid=51468669&amp;vpid=542012103&amp;ct=offers" TargetMode="External"/><Relationship Id="rId9" Type="http://schemas.openxmlformats.org/officeDocument/2006/relationships/hyperlink" Target="https://octopart.com/click/track?c=1&amp;ai=8078&amp;sig=0142d8e&amp;sid=819&amp;ppid=51468669&amp;vpid=227400135&amp;ct=offers" TargetMode="External"/><Relationship Id="rId10" Type="http://schemas.openxmlformats.org/officeDocument/2006/relationships/hyperlink" Target="https://octopart.com/click/track?ai=8078&amp;sig=043ec4f&amp;sid=2401&amp;ppid=51468669&amp;vpid=222364962&amp;ct=offers" TargetMode="External"/><Relationship Id="rId11" Type="http://schemas.openxmlformats.org/officeDocument/2006/relationships/hyperlink" Target="https://octopart.com/click/track?c=1&amp;ai=8078&amp;sig=01aab72&amp;sid=2402&amp;ppid=51468669&amp;vpid=228374112&amp;ct=offers" TargetMode="External"/><Relationship Id="rId12" Type="http://schemas.openxmlformats.org/officeDocument/2006/relationships/hyperlink" Target="https://octopart.com/click/track?ai=8078&amp;sig=074f439&amp;sid=10022&amp;ppid=51468669&amp;vpid=562995447&amp;ct=offers" TargetMode="External"/><Relationship Id="rId13" Type="http://schemas.openxmlformats.org/officeDocument/2006/relationships/hyperlink" Target="https://www.murata.com/products/productdetail.aspx?partno=GRM033C80J105ME05D" TargetMode="External"/><Relationship Id="rId14" Type="http://schemas.openxmlformats.org/officeDocument/2006/relationships/hyperlink" Target="https://octopart.com/click/track?ai=8078&amp;sig=0dd2dd5&amp;sid=459&amp;ppid=71220979&amp;vpid=252726184&amp;ct=offers" TargetMode="External"/><Relationship Id="rId15" Type="http://schemas.openxmlformats.org/officeDocument/2006/relationships/hyperlink" Target="https://octopart.com/click/track?c=1&amp;ai=8078&amp;sig=013a2f0&amp;sid=819&amp;ppid=71220979&amp;vpid=670691828&amp;ct=offers" TargetMode="External"/><Relationship Id="rId16" Type="http://schemas.openxmlformats.org/officeDocument/2006/relationships/hyperlink" Target="https://octopart.com/click/track?ai=8078&amp;sig=0e387aa&amp;sid=2401&amp;ppid=71220979&amp;vpid=262231651&amp;ct=offers" TargetMode="External"/><Relationship Id="rId17" Type="http://schemas.openxmlformats.org/officeDocument/2006/relationships/hyperlink" Target="https://octopart.com/click/track?c=1&amp;ai=8078&amp;sig=0e14f17&amp;sid=2402&amp;ppid=71220979&amp;vpid=671481163&amp;ct=offers" TargetMode="External"/><Relationship Id="rId18" Type="http://schemas.openxmlformats.org/officeDocument/2006/relationships/hyperlink" Target="https://www.murata.com/products/productdetail.aspx?partno=GRM035R60J475ME15D" TargetMode="External"/><Relationship Id="rId19" Type="http://schemas.openxmlformats.org/officeDocument/2006/relationships/hyperlink" Target="https://octopart.com/click/track?ai=8078&amp;sig=02d1bd9&amp;sid=459&amp;ppid=67141176&amp;vpid=252726416&amp;ct=offers" TargetMode="External"/><Relationship Id="rId20" Type="http://schemas.openxmlformats.org/officeDocument/2006/relationships/hyperlink" Target="https://octopart.com/click/track?ai=8078&amp;sig=087aedd&amp;sid=11744&amp;ppid=67141176&amp;vpid=585909672&amp;ct=offers" TargetMode="External"/><Relationship Id="rId21" Type="http://schemas.openxmlformats.org/officeDocument/2006/relationships/hyperlink" Target="https://octopart.com/click/track?ai=8078&amp;sig=0ec1763&amp;sid=27971&amp;ppid=67141176&amp;vpid=510777411&amp;ct=offers" TargetMode="External"/><Relationship Id="rId22" Type="http://schemas.openxmlformats.org/officeDocument/2006/relationships/hyperlink" Target="https://octopart.com/click/track?ai=8078&amp;sig=0e8e022&amp;sid=2401&amp;ppid=67141176&amp;vpid=262254328&amp;ct=offers" TargetMode="External"/><Relationship Id="rId23" Type="http://schemas.openxmlformats.org/officeDocument/2006/relationships/hyperlink" Target="https://octopart.com/click/track?ai=8078&amp;sig=02cfcbc&amp;sid=2402&amp;ppid=67141176&amp;vpid=587966703&amp;ct=offers" TargetMode="External"/><Relationship Id="rId24" Type="http://schemas.openxmlformats.org/officeDocument/2006/relationships/hyperlink" Target="https://www.murata.com/products/productdetail.aspx?partno=GRM155C81C225KE11D" TargetMode="External"/><Relationship Id="rId25" Type="http://schemas.openxmlformats.org/officeDocument/2006/relationships/hyperlink" Target="https://octopart.com/click/track?ai=8078&amp;sig=0b165bb&amp;sid=459&amp;ppid=46692789&amp;vpid=410305221&amp;ct=offers" TargetMode="External"/><Relationship Id="rId26" Type="http://schemas.openxmlformats.org/officeDocument/2006/relationships/hyperlink" Target="https://octopart.com/click/track?ai=8078&amp;sig=0d8f33b&amp;sid=11744&amp;ppid=46692789&amp;vpid=667012154&amp;ct=offers" TargetMode="External"/><Relationship Id="rId27" Type="http://schemas.openxmlformats.org/officeDocument/2006/relationships/hyperlink" Target="https://octopart.com/click/track?ai=8078&amp;sig=0cdb919&amp;sid=2401&amp;ppid=46692789&amp;vpid=230758256&amp;ct=offers" TargetMode="External"/><Relationship Id="rId28" Type="http://schemas.openxmlformats.org/officeDocument/2006/relationships/hyperlink" Target="https://octopart.com/click/track?ai=8078&amp;sig=0849c23&amp;sid=2402&amp;ppid=46692789&amp;vpid=669036303&amp;ct=offers" TargetMode="External"/><Relationship Id="rId29" Type="http://schemas.openxmlformats.org/officeDocument/2006/relationships/hyperlink" Target="https://www.murata.com/products/productdetail.aspx?partno=GRM033R60J224KE15D" TargetMode="External"/><Relationship Id="rId30" Type="http://schemas.openxmlformats.org/officeDocument/2006/relationships/hyperlink" Target="https://octopart.com/click/track?ai=8078&amp;sig=0492ec2&amp;sid=459&amp;ppid=51454422&amp;vpid=172161550&amp;ct=offers" TargetMode="External"/><Relationship Id="rId31" Type="http://schemas.openxmlformats.org/officeDocument/2006/relationships/hyperlink" Target="https://octopart.com/click/track?ai=8078&amp;sig=00c315f&amp;sid=11744&amp;ppid=51454422&amp;vpid=528084476&amp;ct=offers" TargetMode="External"/><Relationship Id="rId32" Type="http://schemas.openxmlformats.org/officeDocument/2006/relationships/hyperlink" Target="https://octopart.com/click/track?ai=8078&amp;sig=0f2788c&amp;sid=27971&amp;ppid=51454422&amp;vpid=445986847&amp;ct=offers" TargetMode="External"/><Relationship Id="rId33" Type="http://schemas.openxmlformats.org/officeDocument/2006/relationships/hyperlink" Target="https://octopart.com/click/track?ai=8078&amp;sig=0207666&amp;sid=2401&amp;ppid=51454422&amp;vpid=178169497&amp;ct=offers" TargetMode="External"/><Relationship Id="rId34" Type="http://schemas.openxmlformats.org/officeDocument/2006/relationships/hyperlink" Target="https://octopart.com/click/track?ai=8078&amp;sig=0d37eed&amp;sid=2402&amp;ppid=51454422&amp;vpid=529126546&amp;ct=offers" TargetMode="External"/><Relationship Id="rId35" Type="http://schemas.openxmlformats.org/officeDocument/2006/relationships/hyperlink" Target="https://octopart.com/click/track?ai=8078&amp;sig=0fe5791&amp;sid=10022&amp;ppid=51454422&amp;vpid=562632809&amp;ct=offers" TargetMode="External"/><Relationship Id="rId36" Type="http://schemas.openxmlformats.org/officeDocument/2006/relationships/hyperlink" Target="https://assets.nexperia.com/documents/data-sheet/BAV70_SER.pdf" TargetMode="External"/><Relationship Id="rId37" Type="http://schemas.openxmlformats.org/officeDocument/2006/relationships/hyperlink" Target="https://octopart.com/click/track?ai=8078&amp;sig=0128b3a&amp;sid=459&amp;ppid=78739000&amp;vpid=417198466&amp;ct=offers" TargetMode="External"/><Relationship Id="rId38" Type="http://schemas.openxmlformats.org/officeDocument/2006/relationships/hyperlink" Target="https://octopart.com/click/track?ai=8078&amp;sig=05421f8&amp;sid=819&amp;ppid=78739000&amp;vpid=414851195&amp;ct=offers" TargetMode="External"/><Relationship Id="rId39" Type="http://schemas.openxmlformats.org/officeDocument/2006/relationships/hyperlink" Target="https://octopart.com/click/track?ai=8078&amp;sig=01ca3f2&amp;sid=2401&amp;ppid=78739000&amp;vpid=416179413&amp;ct=offers" TargetMode="External"/><Relationship Id="rId40" Type="http://schemas.openxmlformats.org/officeDocument/2006/relationships/hyperlink" Target="https://octopart.com/click/track?ai=8078&amp;sig=0d99ee6&amp;sid=2402&amp;ppid=78739000&amp;vpid=520596720&amp;ct=offers" TargetMode="External"/><Relationship Id="rId41" Type="http://schemas.openxmlformats.org/officeDocument/2006/relationships/hyperlink" Target="https://octopart.com/click/track?ai=8078&amp;sig=0d25eb3&amp;sid=10022&amp;ppid=78739000&amp;vpid=501179661&amp;ct=offers" TargetMode="External"/><Relationship Id="rId42" Type="http://schemas.openxmlformats.org/officeDocument/2006/relationships/hyperlink" Target="https://www.lumex.com/datasheet/SML-LX0201USBC-TR" TargetMode="External"/><Relationship Id="rId43" Type="http://schemas.openxmlformats.org/officeDocument/2006/relationships/hyperlink" Target="https://octopart.com/click/track?ai=8078&amp;sig=034beed&amp;sid=459&amp;ppid=84788744&amp;vpid=439727366&amp;ct=offers" TargetMode="External"/><Relationship Id="rId44" Type="http://schemas.openxmlformats.org/officeDocument/2006/relationships/hyperlink" Target="https://octopart.com/click/track?ai=8078&amp;sig=0ff9f3f&amp;sid=11744&amp;ppid=84788744&amp;vpid=441493967&amp;ct=offers" TargetMode="External"/><Relationship Id="rId45" Type="http://schemas.openxmlformats.org/officeDocument/2006/relationships/hyperlink" Target="https://octopart.com/click/track?ai=8078&amp;sig=0210f61&amp;sid=2401&amp;ppid=84788744&amp;vpid=440311376&amp;ct=offers" TargetMode="External"/><Relationship Id="rId46" Type="http://schemas.openxmlformats.org/officeDocument/2006/relationships/hyperlink" Target="https://octopart.com/click/track?ai=8078&amp;sig=0a83003&amp;sid=2402&amp;ppid=84788744&amp;vpid=441141495&amp;ct=offers" TargetMode="External"/><Relationship Id="rId47" Type="http://schemas.openxmlformats.org/officeDocument/2006/relationships/hyperlink" Target="https://octopart.com/click/track?ai=8078&amp;sig=0d0b0e0&amp;sid=1532&amp;ppid=84788744&amp;vpid=709065381&amp;ct=offers" TargetMode="External"/><Relationship Id="rId48" Type="http://schemas.openxmlformats.org/officeDocument/2006/relationships/hyperlink" Target="https://www.lumex.com/datasheet/SML-LX0201UPGC-TR" TargetMode="External"/><Relationship Id="rId49" Type="http://schemas.openxmlformats.org/officeDocument/2006/relationships/hyperlink" Target="https://octopart.com/click/track?ai=8078&amp;sig=055564d&amp;sid=459&amp;ppid=84788743&amp;vpid=439727363&amp;ct=offers" TargetMode="External"/><Relationship Id="rId50" Type="http://schemas.openxmlformats.org/officeDocument/2006/relationships/hyperlink" Target="https://octopart.com/click/track?ai=8078&amp;sig=0fcbf2b&amp;sid=819&amp;ppid=84788743&amp;vpid=441301075&amp;ct=offers" TargetMode="External"/><Relationship Id="rId51" Type="http://schemas.openxmlformats.org/officeDocument/2006/relationships/hyperlink" Target="https://octopart.com/click/track?ai=8078&amp;sig=0bea5b7&amp;sid=2401&amp;ppid=84788743&amp;vpid=440311375&amp;ct=offers" TargetMode="External"/><Relationship Id="rId52" Type="http://schemas.openxmlformats.org/officeDocument/2006/relationships/hyperlink" Target="https://octopart.com/click/track?ai=8078&amp;sig=00c45d4&amp;sid=2402&amp;ppid=84788743&amp;vpid=441141494&amp;ct=offers" TargetMode="External"/><Relationship Id="rId53" Type="http://schemas.openxmlformats.org/officeDocument/2006/relationships/hyperlink" Target="https://octopart.com/click/track?ai=8078&amp;sig=0371ed3&amp;sid=1532&amp;ppid=84788743&amp;vpid=709065379&amp;ct=offers" TargetMode="External"/><Relationship Id="rId54" Type="http://schemas.openxmlformats.org/officeDocument/2006/relationships/hyperlink" Target="http://www.krhro.com/uploads/soft/180320/1-1P320120243.pdf" TargetMode="External"/><Relationship Id="rId55" Type="http://schemas.openxmlformats.org/officeDocument/2006/relationships/hyperlink" Target="https://octopart.com/click/track?ai=8078&amp;sig=0bf3cd2&amp;sid=27971&amp;ppid=99357592&amp;vpid=531406307&amp;ct=offers" TargetMode="External"/><Relationship Id="rId56" Type="http://schemas.openxmlformats.org/officeDocument/2006/relationships/hyperlink" Target="https://industrial.panasonic.com/ww/products/pt/general-purpose-chip-resistors/models/ERJ1GNF2002C" TargetMode="External"/><Relationship Id="rId57" Type="http://schemas.openxmlformats.org/officeDocument/2006/relationships/hyperlink" Target="https://octopart.com/click/track?c=1&amp;ai=8078&amp;sig=0a2fed8&amp;sid=459&amp;ppid=55419770&amp;vpid=465234364&amp;ct=offers" TargetMode="External"/><Relationship Id="rId58" Type="http://schemas.openxmlformats.org/officeDocument/2006/relationships/hyperlink" Target="https://octopart.com/click/track?c=1&amp;ai=8078&amp;sig=02957f8&amp;sid=819&amp;ppid=55419770&amp;vpid=139309800&amp;ct=offers" TargetMode="External"/><Relationship Id="rId59" Type="http://schemas.openxmlformats.org/officeDocument/2006/relationships/hyperlink" Target="https://octopart.com/click/track?ai=8078&amp;sig=035d3a2&amp;sid=27971&amp;ppid=55419770&amp;vpid=669037562&amp;ct=offers" TargetMode="External"/><Relationship Id="rId60" Type="http://schemas.openxmlformats.org/officeDocument/2006/relationships/hyperlink" Target="https://octopart.com/click/track?ai=8078&amp;sig=05e6940&amp;sid=2401&amp;ppid=55419770&amp;vpid=193534025&amp;ct=offers" TargetMode="External"/><Relationship Id="rId61" Type="http://schemas.openxmlformats.org/officeDocument/2006/relationships/hyperlink" Target="https://octopart.com/click/track?c=1&amp;ai=8078&amp;sig=04e76a3&amp;sid=2402&amp;ppid=55419770&amp;vpid=708013514&amp;ct=offers" TargetMode="External"/><Relationship Id="rId62" Type="http://schemas.openxmlformats.org/officeDocument/2006/relationships/hyperlink" Target="https://industrial.panasonic.com/ww/products/pt/general-purpose-chip-resistors/models/ERJ1GNJ512C" TargetMode="External"/><Relationship Id="rId63" Type="http://schemas.openxmlformats.org/officeDocument/2006/relationships/hyperlink" Target="https://octopart.com/click/track?ai=8078&amp;sig=0dd36dc&amp;sid=459&amp;ppid=66942597&amp;vpid=465235418&amp;ct=offers" TargetMode="External"/><Relationship Id="rId64" Type="http://schemas.openxmlformats.org/officeDocument/2006/relationships/hyperlink" Target="https://octopart.com/click/track?c=1&amp;ai=8078&amp;sig=01b939b&amp;sid=819&amp;ppid=66942597&amp;vpid=603690950&amp;ct=offers" TargetMode="External"/><Relationship Id="rId65" Type="http://schemas.openxmlformats.org/officeDocument/2006/relationships/hyperlink" Target="https://octopart.com/click/track?ai=8078&amp;sig=07a33f5&amp;sid=2401&amp;ppid=66942597&amp;vpid=265943161&amp;ct=offers" TargetMode="External"/><Relationship Id="rId66" Type="http://schemas.openxmlformats.org/officeDocument/2006/relationships/hyperlink" Target="https://octopart.com/click/track?c=1&amp;ai=8078&amp;sig=0cb0675&amp;sid=2402&amp;ppid=66942597&amp;vpid=669843420&amp;ct=offers" TargetMode="External"/><Relationship Id="rId67" Type="http://schemas.openxmlformats.org/officeDocument/2006/relationships/hyperlink" Target="https://industrial.panasonic.com/ww/products/pt/general-purpose-chip-resistors/models/ERJ1GNJ101C" TargetMode="External"/><Relationship Id="rId68" Type="http://schemas.openxmlformats.org/officeDocument/2006/relationships/hyperlink" Target="https://octopart.com/click/track?ai=8078&amp;sig=080fecf&amp;sid=459&amp;ppid=44403300&amp;vpid=465235178&amp;ct=offers" TargetMode="External"/><Relationship Id="rId69" Type="http://schemas.openxmlformats.org/officeDocument/2006/relationships/hyperlink" Target="https://octopart.com/click/track?c=1&amp;ai=8078&amp;sig=0b30f5a&amp;sid=819&amp;ppid=44403300&amp;vpid=603690830&amp;ct=offers" TargetMode="External"/><Relationship Id="rId70" Type="http://schemas.openxmlformats.org/officeDocument/2006/relationships/hyperlink" Target="https://octopart.com/click/track?ai=8078&amp;sig=08d00b1&amp;sid=27971&amp;ppid=44403300&amp;vpid=669037577&amp;ct=offers" TargetMode="External"/><Relationship Id="rId71" Type="http://schemas.openxmlformats.org/officeDocument/2006/relationships/hyperlink" Target="https://octopart.com/click/track?ai=8078&amp;sig=0e9f721&amp;sid=2401&amp;ppid=44403300&amp;vpid=165486549&amp;ct=offers" TargetMode="External"/><Relationship Id="rId72" Type="http://schemas.openxmlformats.org/officeDocument/2006/relationships/hyperlink" Target="https://octopart.com/click/track?c=1&amp;ai=8078&amp;sig=0f3777c&amp;sid=2402&amp;ppid=44403300&amp;vpid=166626673&amp;ct=offers" TargetMode="External"/><Relationship Id="rId73" Type="http://schemas.openxmlformats.org/officeDocument/2006/relationships/hyperlink" Target="https://octopart.com/click/track?ai=8078&amp;sig=0e76548&amp;sid=10022&amp;ppid=44403300&amp;vpid=577025029&amp;ct=offers" TargetMode="External"/><Relationship Id="rId74" Type="http://schemas.openxmlformats.org/officeDocument/2006/relationships/hyperlink" Target="https://industrial.panasonic.com/ww/products/pt/general-purpose-chip-resistors/models/ERJ1GN0R00C" TargetMode="External"/><Relationship Id="rId75" Type="http://schemas.openxmlformats.org/officeDocument/2006/relationships/hyperlink" Target="https://octopart.com/click/track?c=1&amp;ai=8078&amp;sig=0d55330&amp;sid=459&amp;ppid=16432844&amp;vpid=73994004&amp;ct=offers" TargetMode="External"/><Relationship Id="rId76" Type="http://schemas.openxmlformats.org/officeDocument/2006/relationships/hyperlink" Target="https://octopart.com/click/track?c=1&amp;ai=8078&amp;sig=0993eba&amp;sid=11744&amp;ppid=16432844&amp;vpid=709673718&amp;ct=offers" TargetMode="External"/><Relationship Id="rId77" Type="http://schemas.openxmlformats.org/officeDocument/2006/relationships/hyperlink" Target="https://octopart.com/click/track?ai=8078&amp;sig=06ab724&amp;sid=2401&amp;ppid=16432844&amp;vpid=41840075&amp;ct=offers" TargetMode="External"/><Relationship Id="rId78" Type="http://schemas.openxmlformats.org/officeDocument/2006/relationships/hyperlink" Target="https://octopart.com/click/track?ai=8078&amp;sig=03714c0&amp;sid=2402&amp;ppid=16432844&amp;vpid=87993748&amp;ct=offers" TargetMode="External"/><Relationship Id="rId79" Type="http://schemas.openxmlformats.org/officeDocument/2006/relationships/hyperlink" Target="https://octopart.com/click/track?ai=8078&amp;sig=0514af3&amp;sid=10022&amp;ppid=16432844&amp;vpid=501237969&amp;ct=offers" TargetMode="External"/><Relationship Id="rId80" Type="http://schemas.openxmlformats.org/officeDocument/2006/relationships/hyperlink" Target="https://industrial.panasonic.com/ww/products/pt/general-purpose-chip-resistors/models/ERJ1GNJ222C" TargetMode="External"/><Relationship Id="rId81" Type="http://schemas.openxmlformats.org/officeDocument/2006/relationships/hyperlink" Target="https://octopart.com/click/track?ai=8078&amp;sig=0fe0904&amp;sid=459&amp;ppid=44403350&amp;vpid=465235292&amp;ct=offers" TargetMode="External"/><Relationship Id="rId82" Type="http://schemas.openxmlformats.org/officeDocument/2006/relationships/hyperlink" Target="https://octopart.com/click/track?c=1&amp;ai=8078&amp;sig=098df08&amp;sid=819&amp;ppid=44403350&amp;vpid=603690887&amp;ct=offers" TargetMode="External"/><Relationship Id="rId83" Type="http://schemas.openxmlformats.org/officeDocument/2006/relationships/hyperlink" Target="https://octopart.com/click/track?ai=8078&amp;sig=07d1d1b&amp;sid=2401&amp;ppid=44403350&amp;vpid=248150297&amp;ct=offers" TargetMode="External"/><Relationship Id="rId84" Type="http://schemas.openxmlformats.org/officeDocument/2006/relationships/hyperlink" Target="https://octopart.com/click/track?c=1&amp;ai=8078&amp;sig=01bc52e&amp;sid=2402&amp;ppid=44403350&amp;vpid=632042349&amp;ct=offers" TargetMode="External"/><Relationship Id="rId85" Type="http://schemas.openxmlformats.org/officeDocument/2006/relationships/hyperlink" Target="https://octopart.com/click/track?ai=8078&amp;sig=0a098df&amp;sid=10022&amp;ppid=44403350&amp;vpid=577025041&amp;ct=offers" TargetMode="External"/><Relationship Id="rId86" Type="http://schemas.openxmlformats.org/officeDocument/2006/relationships/hyperlink" Target="https://industrial.panasonic.com/ww/products/pt/general-purpose-chip-resistors/models/ERJ1GNJ220C" TargetMode="External"/><Relationship Id="rId87" Type="http://schemas.openxmlformats.org/officeDocument/2006/relationships/hyperlink" Target="https://octopart.com/click/track?c=1&amp;ai=8078&amp;sig=04cd504&amp;sid=459&amp;ppid=42505965&amp;vpid=465235288&amp;ct=offers" TargetMode="External"/><Relationship Id="rId88" Type="http://schemas.openxmlformats.org/officeDocument/2006/relationships/hyperlink" Target="https://octopart.com/click/track?c=1&amp;ai=8078&amp;sig=0433a1d&amp;sid=819&amp;ppid=42505965&amp;vpid=603690885&amp;ct=offers" TargetMode="External"/><Relationship Id="rId89" Type="http://schemas.openxmlformats.org/officeDocument/2006/relationships/hyperlink" Target="https://octopart.com/click/track?c=1&amp;ai=8078&amp;sig=09aa4bb&amp;sid=2401&amp;ppid=42505965&amp;vpid=165486571&amp;ct=offers" TargetMode="External"/><Relationship Id="rId90" Type="http://schemas.openxmlformats.org/officeDocument/2006/relationships/hyperlink" Target="https://octopart.com/click/track?c=1&amp;ai=8078&amp;sig=0965e6c&amp;sid=2402&amp;ppid=42505965&amp;vpid=524371516&amp;ct=offers" TargetMode="External"/><Relationship Id="rId91" Type="http://schemas.openxmlformats.org/officeDocument/2006/relationships/hyperlink" Target="https://industrial.panasonic.com/ww/products/pt/general-purpose-chip-resistors/models/ERJ1GNJ152C" TargetMode="External"/><Relationship Id="rId92" Type="http://schemas.openxmlformats.org/officeDocument/2006/relationships/hyperlink" Target="https://octopart.com/click/track?ai=8078&amp;sig=06f5537&amp;sid=459&amp;ppid=55940368&amp;vpid=465235230&amp;ct=offers" TargetMode="External"/><Relationship Id="rId93" Type="http://schemas.openxmlformats.org/officeDocument/2006/relationships/hyperlink" Target="https://octopart.com/click/track?c=1&amp;ai=8078&amp;sig=031cc2c&amp;sid=819&amp;ppid=55940368&amp;vpid=603690856&amp;ct=offers" TargetMode="External"/><Relationship Id="rId94" Type="http://schemas.openxmlformats.org/officeDocument/2006/relationships/hyperlink" Target="https://octopart.com/click/track?ai=8078&amp;sig=01a465a&amp;sid=2401&amp;ppid=55940368&amp;vpid=165486557&amp;ct=offers" TargetMode="External"/><Relationship Id="rId95" Type="http://schemas.openxmlformats.org/officeDocument/2006/relationships/hyperlink" Target="https://octopart.com/click/track?c=1&amp;ai=8078&amp;sig=0e5d5c9&amp;sid=2402&amp;ppid=55940368&amp;vpid=192308633&amp;ct=offers" TargetMode="External"/><Relationship Id="rId96" Type="http://schemas.openxmlformats.org/officeDocument/2006/relationships/hyperlink" Target="https://octopart.com/click/track?ai=8078&amp;sig=08f769b&amp;sid=10022&amp;ppid=55940368&amp;vpid=577025035&amp;ct=offers" TargetMode="External"/><Relationship Id="rId97" Type="http://schemas.openxmlformats.org/officeDocument/2006/relationships/hyperlink" Target="https://industrial.panasonic.com/ww/products/pt/general-purpose-chip-resistors/models/ERJ1GNF4023C" TargetMode="External"/><Relationship Id="rId98" Type="http://schemas.openxmlformats.org/officeDocument/2006/relationships/hyperlink" Target="https://octopart.com/click/track?ai=8078&amp;sig=03ba325&amp;sid=459&amp;ppid=44403121&amp;vpid=465234726&amp;ct=offers" TargetMode="External"/><Relationship Id="rId99" Type="http://schemas.openxmlformats.org/officeDocument/2006/relationships/hyperlink" Target="https://octopart.com/click/track?c=1&amp;ai=8078&amp;sig=05d3ff2&amp;sid=819&amp;ppid=44403121&amp;vpid=603690647&amp;ct=offers" TargetMode="External"/><Relationship Id="rId100" Type="http://schemas.openxmlformats.org/officeDocument/2006/relationships/hyperlink" Target="https://octopart.com/click/track?ai=8078&amp;sig=0d4f0ff&amp;sid=2401&amp;ppid=44403121&amp;vpid=116511563&amp;ct=offers" TargetMode="External"/><Relationship Id="rId101" Type="http://schemas.openxmlformats.org/officeDocument/2006/relationships/hyperlink" Target="https://industrial.panasonic.com/ww/products/pt/general-purpose-chip-resistors/models/ERJ1GNF1003C" TargetMode="External"/><Relationship Id="rId102" Type="http://schemas.openxmlformats.org/officeDocument/2006/relationships/hyperlink" Target="https://octopart.com/click/track?c=1&amp;ai=8078&amp;sig=0623a30&amp;sid=459&amp;ppid=55419699&amp;vpid=465234048&amp;ct=offers" TargetMode="External"/><Relationship Id="rId103" Type="http://schemas.openxmlformats.org/officeDocument/2006/relationships/hyperlink" Target="https://octopart.com/click/track?c=1&amp;ai=8078&amp;sig=076dd8d&amp;sid=819&amp;ppid=55419699&amp;vpid=139309641&amp;ct=offers" TargetMode="External"/><Relationship Id="rId104" Type="http://schemas.openxmlformats.org/officeDocument/2006/relationships/hyperlink" Target="https://octopart.com/click/track?ai=8078&amp;sig=016ffb6&amp;sid=27971&amp;ppid=55419699&amp;vpid=669037555&amp;ct=offers" TargetMode="External"/><Relationship Id="rId105" Type="http://schemas.openxmlformats.org/officeDocument/2006/relationships/hyperlink" Target="https://octopart.com/click/track?ai=8078&amp;sig=0f53f81&amp;sid=2401&amp;ppid=55419699&amp;vpid=187838587&amp;ct=offers" TargetMode="External"/><Relationship Id="rId106" Type="http://schemas.openxmlformats.org/officeDocument/2006/relationships/hyperlink" Target="https://octopart.com/click/track?ai=8078&amp;sig=06ff9cf&amp;sid=2402&amp;ppid=55419699&amp;vpid=423915173&amp;ct=offers" TargetMode="External"/><Relationship Id="rId107" Type="http://schemas.openxmlformats.org/officeDocument/2006/relationships/hyperlink" Target="https://octopart.com/click/track?ai=8078&amp;sig=0de3a6c&amp;sid=10022&amp;ppid=55419699&amp;vpid=577025004&amp;ct=offers" TargetMode="External"/><Relationship Id="rId108" Type="http://schemas.openxmlformats.org/officeDocument/2006/relationships/hyperlink" Target="https://industrial.panasonic.com/ww/products/pt/general-purpose-chip-resistors/models/ERJ1GNF1002C" TargetMode="External"/><Relationship Id="rId109" Type="http://schemas.openxmlformats.org/officeDocument/2006/relationships/hyperlink" Target="https://octopart.com/click/track?ai=8078&amp;sig=08a096a&amp;sid=459&amp;ppid=55419697&amp;vpid=436711940&amp;ct=offers" TargetMode="External"/><Relationship Id="rId110" Type="http://schemas.openxmlformats.org/officeDocument/2006/relationships/hyperlink" Target="https://octopart.com/click/track?ai=8078&amp;sig=0f0932e&amp;sid=11744&amp;ppid=55419697&amp;vpid=132575573&amp;ct=offers" TargetMode="External"/><Relationship Id="rId111" Type="http://schemas.openxmlformats.org/officeDocument/2006/relationships/hyperlink" Target="https://octopart.com/click/track?ai=8078&amp;sig=02e7488&amp;sid=27971&amp;ppid=55419697&amp;vpid=669037554&amp;ct=offers" TargetMode="External"/><Relationship Id="rId112" Type="http://schemas.openxmlformats.org/officeDocument/2006/relationships/hyperlink" Target="https://octopart.com/click/track?ai=8078&amp;sig=08e4731&amp;sid=2401&amp;ppid=55419697&amp;vpid=189037115&amp;ct=offers" TargetMode="External"/><Relationship Id="rId113" Type="http://schemas.openxmlformats.org/officeDocument/2006/relationships/hyperlink" Target="https://octopart.com/click/track?ai=8078&amp;sig=076a906&amp;sid=2402&amp;ppid=55419697&amp;vpid=432963067&amp;ct=offers" TargetMode="External"/><Relationship Id="rId114" Type="http://schemas.openxmlformats.org/officeDocument/2006/relationships/hyperlink" Target="https://octopart.com/click/track?ai=8078&amp;sig=0924ec2&amp;sid=10022&amp;ppid=55419697&amp;vpid=501237973&amp;ct=offers" TargetMode="External"/><Relationship Id="rId115" Type="http://schemas.openxmlformats.org/officeDocument/2006/relationships/hyperlink" Target="https://www.ckswitches.com/media/1465/kxt3.pdf" TargetMode="External"/><Relationship Id="rId116" Type="http://schemas.openxmlformats.org/officeDocument/2006/relationships/hyperlink" Target="https://octopart.com/click/track?ai=8078&amp;sig=0455a70&amp;sid=459&amp;ppid=77815716&amp;vpid=409558688&amp;ct=offers" TargetMode="External"/><Relationship Id="rId117" Type="http://schemas.openxmlformats.org/officeDocument/2006/relationships/hyperlink" Target="https://octopart.com/click/track?ai=8078&amp;sig=0160c56&amp;sid=11744&amp;ppid=77815716&amp;vpid=573795781&amp;ct=offers" TargetMode="External"/><Relationship Id="rId118" Type="http://schemas.openxmlformats.org/officeDocument/2006/relationships/hyperlink" Target="https://octopart.com/click/track?ai=8078&amp;sig=0c19f51&amp;sid=2401&amp;ppid=77815716&amp;vpid=418675924&amp;ct=offers" TargetMode="External"/><Relationship Id="rId119" Type="http://schemas.openxmlformats.org/officeDocument/2006/relationships/hyperlink" Target="https://octopart.com/click/track?ai=8078&amp;sig=003f6a2&amp;sid=2402&amp;ppid=77815716&amp;vpid=587924507&amp;ct=offers" TargetMode="External"/><Relationship Id="rId120" Type="http://schemas.openxmlformats.org/officeDocument/2006/relationships/hyperlink" Target="https://www.onsemi.com/pdf/datasheet/ncp115-d.pdf" TargetMode="External"/><Relationship Id="rId121" Type="http://schemas.openxmlformats.org/officeDocument/2006/relationships/hyperlink" Target="https://octopart.com/click/track?ai=8078&amp;sig=0a3f4b6&amp;sid=459&amp;ppid=92380524&amp;vpid=530205177&amp;ct=offers" TargetMode="External"/><Relationship Id="rId122" Type="http://schemas.openxmlformats.org/officeDocument/2006/relationships/hyperlink" Target="https://octopart.com/click/track?ai=8078&amp;sig=0e69391&amp;sid=11744&amp;ppid=92380524&amp;vpid=531143297&amp;ct=offers" TargetMode="External"/><Relationship Id="rId123" Type="http://schemas.openxmlformats.org/officeDocument/2006/relationships/hyperlink" Target="https://octopart.com/click/track?ai=8078&amp;sig=036a8af&amp;sid=2401&amp;ppid=92380524&amp;vpid=523401631&amp;ct=offers" TargetMode="External"/><Relationship Id="rId124" Type="http://schemas.openxmlformats.org/officeDocument/2006/relationships/hyperlink" Target="https://octopart.com/click/track?ai=8078&amp;sig=09fcc50&amp;sid=2402&amp;ppid=92380524&amp;vpid=531928826&amp;ct=offers" TargetMode="External"/><Relationship Id="rId125" Type="http://schemas.openxmlformats.org/officeDocument/2006/relationships/hyperlink" Target="https://octopart.com/click/track?ai=8078&amp;sig=074da9d&amp;sid=10022&amp;ppid=92380524&amp;vpid=562641107&amp;ct=offers" TargetMode="External"/><Relationship Id="rId126" Type="http://schemas.openxmlformats.org/officeDocument/2006/relationships/hyperlink" Target="https://www.winbond.com/resource-files/w25q128jv%20revf%2003272018%20plus.pdf" TargetMode="External"/><Relationship Id="rId127" Type="http://schemas.openxmlformats.org/officeDocument/2006/relationships/hyperlink" Target="https://octopart.com/click/track?c=1&amp;ai=8078&amp;sig=027d369&amp;sid=459&amp;ppid=81762594&amp;vpid=420816932&amp;ct=offers" TargetMode="External"/><Relationship Id="rId128" Type="http://schemas.openxmlformats.org/officeDocument/2006/relationships/hyperlink" Target="http://www.latticesemi.com/Products/FPGAandCPLD/iCE40UltraPlus" TargetMode="External"/><Relationship Id="rId129" Type="http://schemas.openxmlformats.org/officeDocument/2006/relationships/hyperlink" Target="https://octopart.com/click/track?c=1&amp;ai=8078&amp;sig=08e94d1&amp;sid=459&amp;ppid=87369311&amp;vpid=495120370&amp;ct=offers" TargetMode="External"/><Relationship Id="rId130" Type="http://schemas.openxmlformats.org/officeDocument/2006/relationships/hyperlink" Target="https://octopart.com/click/track?ai=8078&amp;sig=026c69c&amp;sid=819&amp;ppid=87369311&amp;vpid=718456045&amp;ct=offers" TargetMode="External"/><Relationship Id="rId131" Type="http://schemas.openxmlformats.org/officeDocument/2006/relationships/hyperlink" Target="https://octopart.com/click/track?c=1&amp;ai=8078&amp;sig=0cde656&amp;sid=2401&amp;ppid=87369311&amp;vpid=477152809&amp;ct=offers" TargetMode="External"/><Relationship Id="rId132" Type="http://schemas.openxmlformats.org/officeDocument/2006/relationships/hyperlink" Target="https://octopart.com/click/track?ai=8078&amp;sig=05f02b2&amp;sid=2402&amp;ppid=87369311&amp;vpid=719396471&amp;ct=offers" TargetMode="External"/><Relationship Id="rId133" Type="http://schemas.openxmlformats.org/officeDocument/2006/relationships/hyperlink" Target="https://www.onsemi.com/pub/Collateral/NCP167-D.PDF" TargetMode="External"/><Relationship Id="rId134" Type="http://schemas.openxmlformats.org/officeDocument/2006/relationships/hyperlink" Target="https://octopart.com/click/track?c=1&amp;ai=8078&amp;sig=0d6401e&amp;sid=459&amp;ppid=85869721&amp;vpid=510801591&amp;ct=offers" TargetMode="External"/><Relationship Id="rId135" Type="http://schemas.openxmlformats.org/officeDocument/2006/relationships/hyperlink" Target="https://octopart.com/click/track?c=1&amp;ai=8078&amp;sig=08bbb59&amp;sid=11744&amp;ppid=85869721&amp;vpid=511860082&amp;ct=offers" TargetMode="External"/><Relationship Id="rId136" Type="http://schemas.openxmlformats.org/officeDocument/2006/relationships/hyperlink" Target="https://octopart.com/click/track?ai=8078&amp;sig=093fed6&amp;sid=2401&amp;ppid=85869721&amp;vpid=480971673&amp;ct=offers" TargetMode="External"/><Relationship Id="rId137" Type="http://schemas.openxmlformats.org/officeDocument/2006/relationships/hyperlink" Target="https://octopart.com/click/track?c=1&amp;ai=8078&amp;sig=0620216&amp;sid=2402&amp;ppid=85869721&amp;vpid=530859240&amp;ct=offers" TargetMode="External"/><Relationship Id="rId138" Type="http://schemas.openxmlformats.org/officeDocument/2006/relationships/hyperlink" Target="https://octopart.com/click/track?ai=8078&amp;sig=0d86e14&amp;sid=10022&amp;ppid=85869721&amp;vpid=562641330&amp;ct=offers" TargetMode="External"/><Relationship Id="rId139" Type="http://schemas.openxmlformats.org/officeDocument/2006/relationships/hyperlink" Target="https://www.onsemi.com/pdf/datasheet/fpf1321-d.pdf" TargetMode="External"/><Relationship Id="rId140" Type="http://schemas.openxmlformats.org/officeDocument/2006/relationships/hyperlink" Target="https://octopart.com/click/track?ai=8078&amp;sig=093f97a&amp;sid=459&amp;ppid=84327733&amp;vpid=452465989&amp;ct=offers" TargetMode="External"/><Relationship Id="rId141" Type="http://schemas.openxmlformats.org/officeDocument/2006/relationships/hyperlink" Target="https://octopart.com/click/track?ai=8078&amp;sig=06fa105&amp;sid=11744&amp;ppid=84327733&amp;vpid=464597522&amp;ct=offers" TargetMode="External"/><Relationship Id="rId142" Type="http://schemas.openxmlformats.org/officeDocument/2006/relationships/hyperlink" Target="https://octopart.com/click/track?ai=8078&amp;sig=0a3dcb6&amp;sid=27971&amp;ppid=84327733&amp;vpid=726305229&amp;ct=offers" TargetMode="External"/><Relationship Id="rId143" Type="http://schemas.openxmlformats.org/officeDocument/2006/relationships/hyperlink" Target="https://octopart.com/click/track?ai=8078&amp;sig=02955e6&amp;sid=2401&amp;ppid=84327733&amp;vpid=438583550&amp;ct=offers" TargetMode="External"/><Relationship Id="rId144" Type="http://schemas.openxmlformats.org/officeDocument/2006/relationships/hyperlink" Target="https://octopart.com/click/track?ai=8078&amp;sig=0729f47&amp;sid=2402&amp;ppid=84327733&amp;vpid=462365160&amp;ct=offers" TargetMode="External"/><Relationship Id="rId145" Type="http://schemas.openxmlformats.org/officeDocument/2006/relationships/hyperlink" Target="https://www.ti.com/lit/ds/symlink/sn74cbtd16211.pdf" TargetMode="External"/><Relationship Id="rId146" Type="http://schemas.openxmlformats.org/officeDocument/2006/relationships/hyperlink" Target="https://octopart.com/click/track?c=1&amp;ai=8078&amp;sig=0aac5c3&amp;sid=459&amp;ppid=472676&amp;vpid=1588405&amp;ct=offers" TargetMode="External"/><Relationship Id="rId147" Type="http://schemas.openxmlformats.org/officeDocument/2006/relationships/hyperlink" Target="https://octopart.com/click/track?ai=8078&amp;sig=0221cb4&amp;sid=27971&amp;ppid=472676&amp;vpid=696942338&amp;ct=offers" TargetMode="External"/><Relationship Id="rId148" Type="http://schemas.openxmlformats.org/officeDocument/2006/relationships/hyperlink" Target="https://octopart.com/click/track?ai=8078&amp;sig=0681b00&amp;sid=2401&amp;ppid=472676&amp;vpid=46887142&amp;ct=offers" TargetMode="External"/><Relationship Id="rId149" Type="http://schemas.openxmlformats.org/officeDocument/2006/relationships/hyperlink" Target="https://www.nxp.com/docs/en/data-sheet/SGTL5000.pdf" TargetMode="External"/><Relationship Id="rId150" Type="http://schemas.openxmlformats.org/officeDocument/2006/relationships/hyperlink" Target="https://octopart.com/click/track?c=1&amp;ai=8078&amp;sig=0e67bb5&amp;sid=459&amp;ppid=70302733&amp;vpid=248305906&amp;ct=offers" TargetMode="External"/><Relationship Id="rId151" Type="http://schemas.openxmlformats.org/officeDocument/2006/relationships/hyperlink" Target="https://octopart.com/click/track?c=1&amp;ai=8078&amp;sig=0d698c2&amp;sid=11744&amp;ppid=70302733&amp;vpid=247788338&amp;ct=offers" TargetMode="External"/><Relationship Id="rId152" Type="http://schemas.openxmlformats.org/officeDocument/2006/relationships/hyperlink" Target="https://octopart.com/click/track?c=1&amp;ai=8078&amp;sig=047f522&amp;sid=2401&amp;ppid=70302733&amp;vpid=251555959&amp;ct=offers" TargetMode="External"/><Relationship Id="rId153" Type="http://schemas.openxmlformats.org/officeDocument/2006/relationships/hyperlink" Target="https://octopart.com/click/track?c=1&amp;ai=8078&amp;sig=00417c4&amp;sid=2402&amp;ppid=70302733&amp;vpid=270421497&amp;ct=offers" TargetMode="External"/><Relationship Id="rId154" Type="http://schemas.openxmlformats.org/officeDocument/2006/relationships/hyperlink" Target="https://www.onsemi.com/pub/Collateral/NUF2030XV6-D.PDF" TargetMode="External"/><Relationship Id="rId155" Type="http://schemas.openxmlformats.org/officeDocument/2006/relationships/hyperlink" Target="https://octopart.com/click/track?c=1&amp;ai=8078&amp;sig=08ab043&amp;sid=459&amp;ppid=1432420&amp;vpid=34063078&amp;ct=offers" TargetMode="External"/><Relationship Id="rId156" Type="http://schemas.openxmlformats.org/officeDocument/2006/relationships/hyperlink" Target="https://octopart.com/click/track?ai=8078&amp;sig=0f9e80e&amp;sid=11744&amp;ppid=1432420&amp;vpid=464605090&amp;ct=offers" TargetMode="External"/><Relationship Id="rId157" Type="http://schemas.openxmlformats.org/officeDocument/2006/relationships/hyperlink" Target="https://octopart.com/click/track?c=1&amp;ai=8078&amp;sig=0a62f1b&amp;sid=2401&amp;ppid=1432420&amp;vpid=37670933&amp;ct=offers" TargetMode="External"/><Relationship Id="rId158" Type="http://schemas.openxmlformats.org/officeDocument/2006/relationships/hyperlink" Target="https://octopart.com/click/track?ai=8078&amp;sig=02bcbf3&amp;sid=2402&amp;ppid=1432420&amp;vpid=462366243&amp;ct=offers" TargetMode="External"/><Relationship Id="rId159" Type="http://schemas.openxmlformats.org/officeDocument/2006/relationships/hyperlink" Target="https://octopart.com/click/track?ai=8078&amp;sig=0d0b068&amp;sid=10022&amp;ppid=1432420&amp;vpid=199088821&amp;ct=offers" TargetMode="External"/><Relationship Id="rId160" Type="http://schemas.openxmlformats.org/officeDocument/2006/relationships/hyperlink" Target="https://octopart.com/click/track?ai=8078&amp;sig=0871723&amp;sid=1532&amp;ppid=1432420&amp;vpid=709123001&amp;ct=offers" TargetMode="External"/><Relationship Id="rId161" Type="http://schemas.openxmlformats.org/officeDocument/2006/relationships/hyperlink" Target="https://www.microchip.com/en-us/product/MCP6H01" TargetMode="External"/><Relationship Id="rId162" Type="http://schemas.openxmlformats.org/officeDocument/2006/relationships/hyperlink" Target="https://octopart.com/click/track?ai=8078&amp;sig=0566c78&amp;sid=459&amp;ppid=21389927&amp;vpid=46837432&amp;ct=offers" TargetMode="External"/><Relationship Id="rId163" Type="http://schemas.openxmlformats.org/officeDocument/2006/relationships/hyperlink" Target="https://octopart.com/click/track?ai=8078&amp;sig=0cd74e5&amp;sid=819&amp;ppid=21389927&amp;vpid=477258536&amp;ct=offers" TargetMode="External"/><Relationship Id="rId164" Type="http://schemas.openxmlformats.org/officeDocument/2006/relationships/hyperlink" Target="https://octopart.com/click/track?ai=8078&amp;sig=0e088c4&amp;sid=2401&amp;ppid=21389927&amp;vpid=96737316&amp;ct=offers" TargetMode="External"/><Relationship Id="rId165" Type="http://schemas.openxmlformats.org/officeDocument/2006/relationships/hyperlink" Target="https://octopart.com/click/track?ai=8078&amp;sig=03f9ef0&amp;sid=2402&amp;ppid=21389927&amp;vpid=477464962&amp;ct=offers" TargetMode="External"/><Relationship Id="rId166" Type="http://schemas.openxmlformats.org/officeDocument/2006/relationships/hyperlink" Target="https://octopart.com/click/track?ai=8078&amp;sig=03abf9d&amp;sid=10022&amp;ppid=21389927&amp;vpid=501149510&amp;ct=offers" TargetMode="External"/><Relationship Id="rId167" Type="http://schemas.openxmlformats.org/officeDocument/2006/relationships/hyperlink" Target="https://octopart.com/click/track?ai=8078&amp;sig=0683b33&amp;sid=1532&amp;ppid=21389927&amp;vpid=709082526&amp;ct=offers" TargetMode="External"/><Relationship Id="rId168" Type="http://schemas.openxmlformats.org/officeDocument/2006/relationships/hyperlink" Target="https://www.apmemory.com/wp-content/uploads/APM_PSRAM_QSPI-APS6404L-3SQR-v2.3-PKG.pdf" TargetMode="External"/><Relationship Id="rId169" Type="http://schemas.openxmlformats.org/officeDocument/2006/relationships/hyperlink" Target="https://abracon.com/Oscillators/ASCO.pdf" TargetMode="External"/><Relationship Id="rId170" Type="http://schemas.openxmlformats.org/officeDocument/2006/relationships/hyperlink" Target="https://octopart.com/click/track?ai=8078&amp;sig=08c1eac&amp;sid=459&amp;ppid=29304148&amp;vpid=77656383&amp;ct=offers" TargetMode="External"/><Relationship Id="rId171" Type="http://schemas.openxmlformats.org/officeDocument/2006/relationships/hyperlink" Target="https://octopart.com/click/track?ai=8078&amp;sig=00626ec&amp;sid=819&amp;ppid=29304148&amp;vpid=663079651&amp;ct=offers" TargetMode="External"/><Relationship Id="rId172" Type="http://schemas.openxmlformats.org/officeDocument/2006/relationships/hyperlink" Target="https://octopart.com/click/track?ai=8078&amp;sig=0787bed&amp;sid=2401&amp;ppid=29304148&amp;vpid=182948634&amp;ct=offers" TargetMode="External"/><Relationship Id="rId173" Type="http://schemas.openxmlformats.org/officeDocument/2006/relationships/hyperlink" Target="https://octopart.com/click/track?ai=8078&amp;sig=0785f27&amp;sid=2402&amp;ppid=29304148&amp;vpid=664848724&amp;ct=offers" TargetMode="External"/><Relationship Id="rId174" Type="http://schemas.openxmlformats.org/officeDocument/2006/relationships/hyperlink" Target="https://www.arrow.com/en/bom-tool/" TargetMode="External"/><Relationship Id="rId175" Type="http://schemas.openxmlformats.org/officeDocument/2006/relationships/hyperlink" Target="https://www.digikey.com/ordering/shoppingcart" TargetMode="External"/><Relationship Id="rId176" Type="http://schemas.openxmlformats.org/officeDocument/2006/relationships/hyperlink" Target="https://www.newark.com/quick-order?isQuickPaste=true" TargetMode="External"/><Relationship Id="rId177" Type="http://schemas.openxmlformats.org/officeDocument/2006/relationships/hyperlink" Target="https://lcsc.com/bom.html" TargetMode="External"/><Relationship Id="rId178" Type="http://schemas.openxmlformats.org/officeDocument/2006/relationships/hyperlink" Target="https://mouser.com/bom/" TargetMode="External"/><Relationship Id="rId179" Type="http://schemas.openxmlformats.org/officeDocument/2006/relationships/hyperlink" Target="https://www.newark.com/quick-order?isQuickPaste=true" TargetMode="External"/><Relationship Id="rId180" Type="http://schemas.openxmlformats.org/officeDocument/2006/relationships/hyperlink" Target="https://uk.rs-online.com/web/mylists/manualQuotes.html?method=showEnquiryCreationPage&amp;mode=new" TargetMode="External"/><Relationship Id="rId181" Type="http://schemas.openxmlformats.org/officeDocument/2006/relationships/hyperlink" Target="https://www.tme.eu/en/Profile/QuickBuy/load.html" TargetMode="External"/><Relationship Id="rId182" Type="http://schemas.openxmlformats.org/officeDocument/2006/relationships/vmlDrawing" Target="../drawings/vmlDrawing1.vml"/><Relationship Id="rId18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X81"/>
  <sheetViews>
    <sheetView tabSelected="1" workbookViewId="0">
      <pane xSplit="10" ySplit="6" topLeftCell="K7" activePane="bottomRight" state="frozen"/>
      <selection pane="topRight" activeCell="K1" sqref="K1"/>
      <selection pane="bottomLeft" activeCell="A7" sqref="A7"/>
      <selection pane="bottomRight"/>
    </sheetView>
  </sheetViews>
  <sheetFormatPr defaultRowHeight="15" outlineLevelCol="2"/>
  <cols>
    <col min="1" max="1" width="9.140625"/>
    <col min="2" max="2" width="9.140625"/>
    <col min="3" max="3" width="9.140625" outlineLevel="2"/>
    <col min="4" max="4" width="9.140625"/>
    <col min="5" max="5" width="9.140625" outlineLevel="2"/>
    <col min="6" max="6" width="9.140625" outlineLevel="1"/>
    <col min="7" max="7" width="9.140625" outlineLevel="1"/>
    <col min="8" max="8" width="9.140625" outlineLevel="1"/>
    <col min="9" max="9" width="9.140625"/>
    <col min="10" max="10" width="15.7109375" customWidth="1"/>
    <col min="11" max="11" width="9.140625" outlineLevel="1"/>
    <col min="12" max="12" width="9.140625" outlineLevel="2"/>
    <col min="13" max="13" width="9.140625" outlineLevel="2"/>
    <col min="14" max="14" width="15.7109375" customWidth="1"/>
    <col min="15" max="15" width="15.7109375" customWidth="1" outlineLevel="2"/>
    <col min="16" max="16" width="9.140625" outlineLevel="1"/>
    <col min="17" max="17" width="9.140625" outlineLevel="2"/>
    <col min="18" max="18" width="9.140625" outlineLevel="2"/>
    <col min="19" max="19" width="15.7109375" customWidth="1"/>
    <col min="20" max="20" width="15.7109375" customWidth="1" outlineLevel="2"/>
    <col min="21" max="21" width="9.140625" outlineLevel="1"/>
    <col min="22" max="22" width="9.140625" outlineLevel="2"/>
    <col min="23" max="23" width="9.140625" outlineLevel="2"/>
    <col min="24" max="24" width="15.7109375" customWidth="1"/>
    <col min="25" max="25" width="15.7109375" customWidth="1" outlineLevel="2"/>
    <col min="26" max="26" width="9.140625" outlineLevel="1"/>
    <col min="27" max="27" width="9.140625" outlineLevel="2"/>
    <col min="28" max="28" width="9.140625" outlineLevel="2"/>
    <col min="29" max="29" width="15.7109375" customWidth="1"/>
    <col min="30" max="30" width="15.7109375" customWidth="1" outlineLevel="2"/>
    <col min="31" max="31" width="9.140625" outlineLevel="1"/>
    <col min="32" max="32" width="9.140625" outlineLevel="2"/>
    <col min="33" max="33" width="9.140625" outlineLevel="2"/>
    <col min="34" max="34" width="15.7109375" customWidth="1"/>
    <col min="35" max="35" width="15.7109375" customWidth="1" outlineLevel="2"/>
    <col min="36" max="36" width="9.140625" outlineLevel="1"/>
    <col min="37" max="37" width="9.140625" outlineLevel="2"/>
    <col min="38" max="38" width="9.140625" outlineLevel="2"/>
    <col min="39" max="39" width="15.7109375" customWidth="1"/>
    <col min="40" max="40" width="15.7109375" customWidth="1" outlineLevel="2"/>
    <col min="41" max="41" width="9.140625" outlineLevel="1"/>
    <col min="42" max="42" width="9.140625" outlineLevel="2"/>
    <col min="43" max="43" width="9.140625" outlineLevel="2"/>
    <col min="44" max="44" width="15.7109375" customWidth="1"/>
    <col min="45" max="45" width="15.7109375" customWidth="1" outlineLevel="2"/>
    <col min="46" max="46" width="9.140625" outlineLevel="1"/>
    <col min="47" max="47" width="9.140625" outlineLevel="2"/>
    <col min="48" max="48" width="9.140625" outlineLevel="2"/>
    <col min="49" max="49" width="15.7109375" customWidth="1"/>
    <col min="50" max="50" width="15.7109375" customWidth="1" outlineLevel="2"/>
  </cols>
  <sheetData>
    <row r="1" spans="1:50">
      <c r="A1" s="1" t="s">
        <v>187</v>
      </c>
      <c r="B1" s="2" t="s">
        <v>188</v>
      </c>
      <c r="I1" s="3" t="s">
        <v>193</v>
      </c>
      <c r="J1" s="3">
        <v>100</v>
      </c>
    </row>
    <row r="2" spans="1:50">
      <c r="A2" s="1" t="s">
        <v>189</v>
      </c>
      <c r="B2" s="2" t="s">
        <v>190</v>
      </c>
      <c r="I2" s="1" t="s">
        <v>195</v>
      </c>
      <c r="J2" s="4">
        <f>TotalCost/BoardQty</f>
        <v>0</v>
      </c>
    </row>
    <row r="3" spans="1:50">
      <c r="A3" s="1" t="s">
        <v>191</v>
      </c>
      <c r="B3" s="2" t="s">
        <v>192</v>
      </c>
      <c r="I3" s="1" t="s">
        <v>194</v>
      </c>
      <c r="J3" s="5">
        <f>SUM(J7:J42)</f>
        <v>0</v>
      </c>
      <c r="N3" s="5">
        <f>SUM(N7:N42)</f>
        <v>0</v>
      </c>
      <c r="O3" s="6">
        <f>(COUNTA(N7:N42)&amp;" of "&amp;ROWS(N7:N42)&amp;" parts found")</f>
        <v>0</v>
      </c>
      <c r="S3" s="5">
        <f>SUM(S7:S42)</f>
        <v>0</v>
      </c>
      <c r="T3" s="6">
        <f>(COUNTA(S7:S42)&amp;" of "&amp;ROWS(S7:S42)&amp;" parts found")</f>
        <v>0</v>
      </c>
      <c r="X3" s="5">
        <f>SUM(X7:X42)</f>
        <v>0</v>
      </c>
      <c r="Y3" s="6">
        <f>(COUNTA(X7:X42)&amp;" of "&amp;ROWS(X7:X42)&amp;" parts found")</f>
        <v>0</v>
      </c>
      <c r="AC3" s="5">
        <f>SUM(AC7:AC42)</f>
        <v>0</v>
      </c>
      <c r="AD3" s="6">
        <f>(COUNTA(AC7:AC42)&amp;" of "&amp;ROWS(AC7:AC42)&amp;" parts found")</f>
        <v>0</v>
      </c>
      <c r="AH3" s="5">
        <f>SUM(AH7:AH42)</f>
        <v>0</v>
      </c>
      <c r="AI3" s="6">
        <f>(COUNTA(AH7:AH42)&amp;" of "&amp;ROWS(AH7:AH42)&amp;" parts found")</f>
        <v>0</v>
      </c>
      <c r="AM3" s="5">
        <f>SUM(AM7:AM42)</f>
        <v>0</v>
      </c>
      <c r="AN3" s="6">
        <f>(COUNTA(AM7:AM42)&amp;" of "&amp;ROWS(AM7:AM42)&amp;" parts found")</f>
        <v>0</v>
      </c>
      <c r="AR3" s="5">
        <f>SUM(AR7:AR42)</f>
        <v>0</v>
      </c>
      <c r="AS3" s="6">
        <f>(COUNTA(AR7:AR42)&amp;" of "&amp;ROWS(AR7:AR42)&amp;" parts found")</f>
        <v>0</v>
      </c>
      <c r="AW3" s="5">
        <f>SUM(AW7:AW42)</f>
        <v>0</v>
      </c>
      <c r="AX3" s="6">
        <f>(COUNTA(AW7:AW42)&amp;" of "&amp;ROWS(AW7:AW42)&amp;" parts found")</f>
        <v>0</v>
      </c>
    </row>
    <row r="4" spans="1:50">
      <c r="A4" s="1" t="s">
        <v>196</v>
      </c>
      <c r="B4" s="2" t="s">
        <v>197</v>
      </c>
    </row>
    <row r="5" spans="1:50">
      <c r="A5" s="7" t="s">
        <v>0</v>
      </c>
      <c r="B5" s="7"/>
      <c r="C5" s="7"/>
      <c r="D5" s="7"/>
      <c r="E5" s="7"/>
      <c r="F5" s="7"/>
      <c r="G5" s="7"/>
      <c r="H5" s="7"/>
      <c r="I5" s="7"/>
      <c r="J5" s="7"/>
      <c r="K5" s="8" t="s">
        <v>198</v>
      </c>
      <c r="L5" s="8"/>
      <c r="M5" s="8"/>
      <c r="N5" s="8"/>
      <c r="O5" s="8"/>
      <c r="P5" s="9" t="s">
        <v>203</v>
      </c>
      <c r="Q5" s="9"/>
      <c r="R5" s="9"/>
      <c r="S5" s="9"/>
      <c r="T5" s="9"/>
      <c r="U5" s="10" t="s">
        <v>235</v>
      </c>
      <c r="V5" s="10"/>
      <c r="W5" s="10"/>
      <c r="X5" s="10"/>
      <c r="Y5" s="10"/>
      <c r="Z5" s="11" t="s">
        <v>264</v>
      </c>
      <c r="AA5" s="11"/>
      <c r="AB5" s="11"/>
      <c r="AC5" s="11"/>
      <c r="AD5" s="11"/>
      <c r="AE5" s="12" t="s">
        <v>275</v>
      </c>
      <c r="AF5" s="12"/>
      <c r="AG5" s="12"/>
      <c r="AH5" s="12"/>
      <c r="AI5" s="12"/>
      <c r="AJ5" s="13" t="s">
        <v>305</v>
      </c>
      <c r="AK5" s="13"/>
      <c r="AL5" s="13"/>
      <c r="AM5" s="13"/>
      <c r="AN5" s="13"/>
      <c r="AO5" s="14" t="s">
        <v>333</v>
      </c>
      <c r="AP5" s="14"/>
      <c r="AQ5" s="14"/>
      <c r="AR5" s="14"/>
      <c r="AS5" s="14"/>
      <c r="AT5" s="15" t="s">
        <v>347</v>
      </c>
      <c r="AU5" s="15"/>
      <c r="AV5" s="15"/>
      <c r="AW5" s="15"/>
      <c r="AX5" s="15"/>
    </row>
    <row r="6" spans="1:50">
      <c r="A6" s="16" t="s">
        <v>1</v>
      </c>
      <c r="B6" s="16" t="s">
        <v>2</v>
      </c>
      <c r="C6" s="16" t="s">
        <v>3</v>
      </c>
      <c r="D6" s="16" t="s">
        <v>10</v>
      </c>
      <c r="E6" s="16" t="s">
        <v>4</v>
      </c>
      <c r="F6" s="16" t="s">
        <v>5</v>
      </c>
      <c r="G6" s="16" t="s">
        <v>6</v>
      </c>
      <c r="H6" s="16" t="s">
        <v>7</v>
      </c>
      <c r="I6" s="16" t="s">
        <v>8</v>
      </c>
      <c r="J6" s="16" t="s">
        <v>9</v>
      </c>
      <c r="K6" s="16" t="s">
        <v>199</v>
      </c>
      <c r="L6" s="16" t="s">
        <v>200</v>
      </c>
      <c r="M6" s="16" t="s">
        <v>8</v>
      </c>
      <c r="N6" s="16" t="s">
        <v>9</v>
      </c>
      <c r="O6" s="16" t="s">
        <v>201</v>
      </c>
      <c r="P6" s="16" t="s">
        <v>199</v>
      </c>
      <c r="Q6" s="16" t="s">
        <v>200</v>
      </c>
      <c r="R6" s="16" t="s">
        <v>8</v>
      </c>
      <c r="S6" s="16" t="s">
        <v>9</v>
      </c>
      <c r="T6" s="16" t="s">
        <v>201</v>
      </c>
      <c r="U6" s="16" t="s">
        <v>199</v>
      </c>
      <c r="V6" s="16" t="s">
        <v>200</v>
      </c>
      <c r="W6" s="16" t="s">
        <v>8</v>
      </c>
      <c r="X6" s="16" t="s">
        <v>9</v>
      </c>
      <c r="Y6" s="16" t="s">
        <v>201</v>
      </c>
      <c r="Z6" s="16" t="s">
        <v>199</v>
      </c>
      <c r="AA6" s="16" t="s">
        <v>200</v>
      </c>
      <c r="AB6" s="16" t="s">
        <v>8</v>
      </c>
      <c r="AC6" s="16" t="s">
        <v>9</v>
      </c>
      <c r="AD6" s="16" t="s">
        <v>201</v>
      </c>
      <c r="AE6" s="16" t="s">
        <v>199</v>
      </c>
      <c r="AF6" s="16" t="s">
        <v>200</v>
      </c>
      <c r="AG6" s="16" t="s">
        <v>8</v>
      </c>
      <c r="AH6" s="16" t="s">
        <v>9</v>
      </c>
      <c r="AI6" s="16" t="s">
        <v>201</v>
      </c>
      <c r="AJ6" s="16" t="s">
        <v>199</v>
      </c>
      <c r="AK6" s="16" t="s">
        <v>200</v>
      </c>
      <c r="AL6" s="16" t="s">
        <v>8</v>
      </c>
      <c r="AM6" s="16" t="s">
        <v>9</v>
      </c>
      <c r="AN6" s="16" t="s">
        <v>201</v>
      </c>
      <c r="AO6" s="16" t="s">
        <v>199</v>
      </c>
      <c r="AP6" s="16" t="s">
        <v>200</v>
      </c>
      <c r="AQ6" s="16" t="s">
        <v>8</v>
      </c>
      <c r="AR6" s="16" t="s">
        <v>9</v>
      </c>
      <c r="AS6" s="16" t="s">
        <v>201</v>
      </c>
      <c r="AT6" s="16" t="s">
        <v>199</v>
      </c>
      <c r="AU6" s="16" t="s">
        <v>200</v>
      </c>
      <c r="AV6" s="16" t="s">
        <v>8</v>
      </c>
      <c r="AW6" s="16" t="s">
        <v>9</v>
      </c>
      <c r="AX6" s="16" t="s">
        <v>201</v>
      </c>
    </row>
    <row r="7" spans="1:50">
      <c r="A7" s="17" t="s">
        <v>11</v>
      </c>
      <c r="B7" s="17" t="s">
        <v>12</v>
      </c>
      <c r="C7" s="17" t="s">
        <v>13</v>
      </c>
      <c r="D7" s="17" t="s">
        <v>17</v>
      </c>
      <c r="E7" s="17" t="s">
        <v>14</v>
      </c>
      <c r="F7" s="17" t="s">
        <v>15</v>
      </c>
      <c r="G7" s="17" t="s">
        <v>16</v>
      </c>
      <c r="H7" s="17">
        <f>BoardQty*1</f>
        <v>0</v>
      </c>
      <c r="I7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7" s="18">
        <f>iferror(H7*I7,"")</f>
        <v>0</v>
      </c>
      <c r="P7" s="19" t="s">
        <v>205</v>
      </c>
      <c r="R7" s="18">
        <f>iferror(lookup(if(Q7="",H7,Q7),{0,1,10,50,100,500,1000,4000},{0.0,0.37,0.258,0.1808,0.1549,0.11618,0.09811,0.07633}),"")</f>
        <v>0</v>
      </c>
      <c r="S7" s="18">
        <f>iferror(if(Q7="",H7,Q7)*R7,"")</f>
        <v>0</v>
      </c>
      <c r="T7" s="20" t="s">
        <v>204</v>
      </c>
      <c r="U7" s="17">
        <v>2620</v>
      </c>
      <c r="W7" s="18">
        <f>iferror(USD_GBP*lookup(if(V7="",H7,V7),{0,1,10,100,150,500,1000,2000,4000,20000},{0.0,0.301,0.301,0.162,0.162,0.106,0.09,0.0828,0.0756,0.0741}),"")</f>
        <v>0</v>
      </c>
      <c r="X7" s="18">
        <f>iferror(if(V7="",H7,V7)*W7,"")</f>
        <v>0</v>
      </c>
      <c r="Y7" s="20" t="s">
        <v>236</v>
      </c>
      <c r="Z7" s="17">
        <v>15450</v>
      </c>
      <c r="AB7" s="18">
        <f>iferror(lookup(if(AA7="",H7,AA7),{0,1,5,50,150,500,2500,5000},{0.0,0.62054,0.62054,0.45238,0.42149,0.39061,0.37688,0.3701}),"")</f>
        <v>0</v>
      </c>
      <c r="AC7" s="18">
        <f>iferror(if(AA7="",H7,AA7)*AB7,"")</f>
        <v>0</v>
      </c>
      <c r="AD7" s="20" t="s">
        <v>265</v>
      </c>
      <c r="AE7" s="19" t="s">
        <v>205</v>
      </c>
      <c r="AG7" s="18">
        <f>iferror(lookup(if(AF7="",H7,AF7),{0,1,10,50,100,1000,10000},{0.0,0.37,0.258,0.258,0.154,0.098,0.083}),"")</f>
        <v>0</v>
      </c>
      <c r="AH7" s="18">
        <f>iferror(if(AF7="",H7,AF7)*AG7,"")</f>
        <v>0</v>
      </c>
      <c r="AI7" s="20" t="s">
        <v>276</v>
      </c>
      <c r="AJ7" s="17">
        <v>2620</v>
      </c>
      <c r="AL7" s="18">
        <f>iferror(lookup(if(AK7="",H7,AK7),{0,1,10,25,50,100},{0.0,0.444,0.31,0.268,0.226,0.185}),"")</f>
        <v>0</v>
      </c>
      <c r="AM7" s="18">
        <f>iferror(if(AK7="",H7,AK7)*AL7,"")</f>
        <v>0</v>
      </c>
      <c r="AN7" s="20" t="s">
        <v>306</v>
      </c>
    </row>
    <row r="8" spans="1:50">
      <c r="A8" s="17" t="s">
        <v>18</v>
      </c>
      <c r="B8" s="17" t="s">
        <v>19</v>
      </c>
      <c r="C8" s="17" t="s">
        <v>20</v>
      </c>
      <c r="D8" s="17" t="s">
        <v>23</v>
      </c>
      <c r="E8" s="17" t="s">
        <v>14</v>
      </c>
      <c r="F8" s="17" t="s">
        <v>21</v>
      </c>
      <c r="G8" s="17" t="s">
        <v>22</v>
      </c>
      <c r="H8" s="17">
        <f>BoardQty*2</f>
        <v>0</v>
      </c>
      <c r="I8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8" s="18">
        <f>iferror(H8*I8,"")</f>
        <v>0</v>
      </c>
      <c r="P8" s="19" t="s">
        <v>205</v>
      </c>
      <c r="R8" s="18">
        <f>iferror(lookup(if(Q8="",H8,Q8),{0,1,10,50,100,500,1000,4000},{0.0,0.37,0.258,0.1806,0.1548,0.11608,0.09802,0.0877}),"")</f>
        <v>0</v>
      </c>
      <c r="S8" s="18">
        <f>iferror(if(Q8="",H8,Q8)*R8,"")</f>
        <v>0</v>
      </c>
      <c r="T8" s="20" t="s">
        <v>206</v>
      </c>
      <c r="U8" s="19" t="s">
        <v>205</v>
      </c>
      <c r="W8" s="18">
        <f>iferror(USD_GBP*lookup(if(V8="",H8,V8),{0,1,10,100,150,500,1000,2000,4000,20000},{0.0,0.187,0.187,0.139,0.139,0.0899,0.0759,0.0743,0.0728,0.0603}),"")</f>
        <v>0</v>
      </c>
      <c r="X8" s="18">
        <f>iferror(if(V8="",H8,V8)*W8,"")</f>
        <v>0</v>
      </c>
      <c r="Y8" s="20" t="s">
        <v>237</v>
      </c>
      <c r="AE8" s="17">
        <v>5792</v>
      </c>
      <c r="AG8" s="18">
        <f>iferror(lookup(if(AF8="",H8,AF8),{0,1,10,50,100,1000,10000},{0.0,0.36,0.27,0.27,0.161,0.102,0.075}),"")</f>
        <v>0</v>
      </c>
      <c r="AH8" s="18">
        <f>iferror(if(AF8="",H8,AF8)*AG8,"")</f>
        <v>0</v>
      </c>
      <c r="AI8" s="20" t="s">
        <v>277</v>
      </c>
      <c r="AJ8" s="19" t="s">
        <v>205</v>
      </c>
      <c r="AL8" s="18">
        <f>iferror(lookup(if(AK8="",H8,AK8),{0,1,10,25,50,100,4000,8000},{0.0,0.27,0.27,0.234,0.197,0.161,0.081,0.075}),"")</f>
        <v>0</v>
      </c>
      <c r="AM8" s="18">
        <f>iferror(if(AK8="",H8,AK8)*AL8,"")</f>
        <v>0</v>
      </c>
      <c r="AN8" s="20" t="s">
        <v>307</v>
      </c>
      <c r="AO8" s="17">
        <v>60</v>
      </c>
      <c r="AQ8" s="18">
        <f>iferror(USD_GBP*lookup(if(AP8="",H8,AP8),{0,1,20,100,500,1000,2000,4000,16000},{0.0,0.206,0.206,0.114,0.093,0.082,0.08,0.06,0.058}),"")</f>
        <v>0</v>
      </c>
      <c r="AR8" s="18">
        <f>iferror(if(AP8="",H8,AP8)*AQ8,"")</f>
        <v>0</v>
      </c>
      <c r="AS8" s="20" t="s">
        <v>334</v>
      </c>
    </row>
    <row r="9" spans="1:50">
      <c r="A9" s="17" t="s">
        <v>24</v>
      </c>
      <c r="B9" s="17" t="s">
        <v>12</v>
      </c>
      <c r="C9" s="17" t="s">
        <v>25</v>
      </c>
      <c r="D9" s="17" t="s">
        <v>28</v>
      </c>
      <c r="E9" s="17" t="s">
        <v>26</v>
      </c>
      <c r="F9" s="17" t="s">
        <v>15</v>
      </c>
      <c r="G9" s="17" t="s">
        <v>27</v>
      </c>
      <c r="H9" s="17">
        <f>BoardQty*3</f>
        <v>0</v>
      </c>
      <c r="I9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9" s="18">
        <f>iferror(H9*I9,"")</f>
        <v>0</v>
      </c>
      <c r="P9" s="17">
        <v>1325828</v>
      </c>
      <c r="R9" s="18">
        <f>iferror(lookup(if(Q9="",H9,Q9),{0,1,10,50,100,500,1000,2500,5000,15000},{0.0,0.25,0.172,0.115,0.0978,0.069,0.06038,0.0575,0.05319,0.04773}),"")</f>
        <v>0</v>
      </c>
      <c r="S9" s="18">
        <f>iferror(if(Q9="",H9,Q9)*R9,"")</f>
        <v>0</v>
      </c>
      <c r="T9" s="20" t="s">
        <v>207</v>
      </c>
      <c r="U9" s="17">
        <v>30000</v>
      </c>
      <c r="W9" s="18">
        <f>iferror(USD_GBP*lookup(if(V9="",H9,V9),{0,1,10,100,150,500,2500,7500,15000,75000},{0.0,0.152,0.152,0.106,0.106,0.0837,0.0636,0.053,0.052,0.0445}),"")</f>
        <v>0</v>
      </c>
      <c r="X9" s="18">
        <f>iferror(if(V9="",H9,V9)*W9,"")</f>
        <v>0</v>
      </c>
      <c r="Y9" s="20" t="s">
        <v>238</v>
      </c>
      <c r="AE9" s="17">
        <v>449900</v>
      </c>
      <c r="AG9" s="18">
        <f>iferror(lookup(if(AF9="",H9,AF9),{0,1,10,50,100,1000,10000},{0.0,0.25,0.171,0.171,0.097,0.06,0.051}),"")</f>
        <v>0</v>
      </c>
      <c r="AH9" s="18">
        <f>iferror(if(AF9="",H9,AF9)*AG9,"")</f>
        <v>0</v>
      </c>
      <c r="AI9" s="20" t="s">
        <v>278</v>
      </c>
      <c r="AJ9" s="17">
        <v>30000</v>
      </c>
      <c r="AL9" s="18">
        <f>iferror(lookup(if(AK9="",H9,AK9),{0,1,10,25,50,100,15000},{0.0,0.064,0.205,0.176,0.146,0.116,0.064}),"")</f>
        <v>0</v>
      </c>
      <c r="AM9" s="18">
        <f>iferror(if(AK9="",H9,AK9)*AL9,"")</f>
        <v>0</v>
      </c>
      <c r="AN9" s="20" t="s">
        <v>308</v>
      </c>
    </row>
    <row r="10" spans="1:50">
      <c r="A10" s="17" t="s">
        <v>29</v>
      </c>
      <c r="B10" s="17" t="s">
        <v>12</v>
      </c>
      <c r="C10" s="17" t="s">
        <v>30</v>
      </c>
      <c r="D10" s="17" t="s">
        <v>32</v>
      </c>
      <c r="E10" s="17" t="s">
        <v>26</v>
      </c>
      <c r="F10" s="17" t="s">
        <v>15</v>
      </c>
      <c r="G10" s="17" t="s">
        <v>31</v>
      </c>
      <c r="H10" s="17">
        <f>BoardQty*3</f>
        <v>0</v>
      </c>
      <c r="I10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10" s="18">
        <f>iferror(H10*I10,"")</f>
        <v>0</v>
      </c>
      <c r="P10" s="17">
        <v>1562960</v>
      </c>
      <c r="R10" s="18">
        <f>iferror(lookup(if(Q10="",H10,Q10),{0,1,10,50,100,500,1000,2500,5000,10000},{0.0,0.44,0.307,0.215,0.1842,0.13818,0.11668,0.11054,0.1044,0.09826}),"")</f>
        <v>0</v>
      </c>
      <c r="S10" s="18">
        <f>iferror(if(Q10="",H10,Q10)*R10,"")</f>
        <v>0</v>
      </c>
      <c r="T10" s="20" t="s">
        <v>208</v>
      </c>
      <c r="U10" s="17">
        <v>70000</v>
      </c>
      <c r="W10" s="18">
        <f>iferror(USD_GBP*lookup(if(V10="",H10,V10),{0,1,10,100,150,500,2500,5000,10000,50000},{0.0,0.227,0.227,0.184,0.184,0.102,0.0969,0.0853,0.0836,0.0716}),"")</f>
        <v>0</v>
      </c>
      <c r="X10" s="18">
        <f>iferror(if(V10="",H10,V10)*W10,"")</f>
        <v>0</v>
      </c>
      <c r="Y10" s="20" t="s">
        <v>239</v>
      </c>
      <c r="Z10" s="17">
        <v>191830</v>
      </c>
      <c r="AB10" s="18">
        <f>iferror(lookup(if(AA10="",H10,AA10),{0,1,5,50,150,500,2500,5000},{0.0,0.6702,0.6702,0.48858,0.45522,0.42187,0.40704,0.39972}),"")</f>
        <v>0</v>
      </c>
      <c r="AC10" s="18">
        <f>iferror(if(AA10="",H10,AA10)*AB10,"")</f>
        <v>0</v>
      </c>
      <c r="AD10" s="20" t="s">
        <v>266</v>
      </c>
      <c r="AE10" s="17">
        <v>717689</v>
      </c>
      <c r="AG10" s="18">
        <f>iferror(lookup(if(AF10="",H10,AF10),{0,1,10,50,100,1000,10000},{0.0,0.44,0.306,0.306,0.184,0.116,0.094}),"")</f>
        <v>0</v>
      </c>
      <c r="AH10" s="18">
        <f>iferror(if(AF10="",H10,AF10)*AG10,"")</f>
        <v>0</v>
      </c>
      <c r="AI10" s="20" t="s">
        <v>279</v>
      </c>
      <c r="AJ10" s="17">
        <v>70000</v>
      </c>
      <c r="AL10" s="18">
        <f>iferror(lookup(if(AK10="",H10,AK10),{0,1,10,25,50,100,10000},{0.0,0.113,0.367,0.318,0.27,0.221,0.113}),"")</f>
        <v>0</v>
      </c>
      <c r="AM10" s="18">
        <f>iferror(if(AK10="",H10,AK10)*AL10,"")</f>
        <v>0</v>
      </c>
      <c r="AN10" s="20" t="s">
        <v>309</v>
      </c>
    </row>
    <row r="11" spans="1:50">
      <c r="A11" s="17" t="s">
        <v>33</v>
      </c>
      <c r="B11" s="17" t="s">
        <v>12</v>
      </c>
      <c r="C11" s="17" t="s">
        <v>34</v>
      </c>
      <c r="D11" s="17" t="s">
        <v>37</v>
      </c>
      <c r="E11" s="17" t="s">
        <v>35</v>
      </c>
      <c r="F11" s="17" t="s">
        <v>15</v>
      </c>
      <c r="G11" s="17" t="s">
        <v>36</v>
      </c>
      <c r="H11" s="17">
        <f>BoardQty*4</f>
        <v>0</v>
      </c>
      <c r="I11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11" s="18">
        <f>iferror(H11*I11,"")</f>
        <v>0</v>
      </c>
      <c r="P11" s="17">
        <v>13330</v>
      </c>
      <c r="R11" s="18">
        <f>iferror(lookup(if(Q11="",H11,Q11),{0,1,10,50,100,500,1000,2500,5000,10000},{0.0,0.29,0.198,0.119,0.1005,0.06876,0.06084,0.05819,0.0529,0.05026}),"")</f>
        <v>0</v>
      </c>
      <c r="S11" s="18">
        <f>iferror(if(Q11="",H11,Q11)*R11,"")</f>
        <v>0</v>
      </c>
      <c r="T11" s="20" t="s">
        <v>209</v>
      </c>
      <c r="U11" s="17">
        <v>20</v>
      </c>
      <c r="W11" s="18">
        <f>iferror(USD_GBP*lookup(if(V11="",H11,V11),{0,1,10,100,150,500,2500,5000,10000,50000},{0.0,0.127,0.127,0.105,0.105,0.0523,0.05,0.0456,0.0432,0.0386}),"")</f>
        <v>0</v>
      </c>
      <c r="X11" s="18">
        <f>iferror(if(V11="",H11,V11)*W11,"")</f>
        <v>0</v>
      </c>
      <c r="Y11" s="20" t="s">
        <v>240</v>
      </c>
      <c r="AE11" s="17">
        <v>672</v>
      </c>
      <c r="AG11" s="18">
        <f>iferror(lookup(if(AF11="",H11,AF11),{0,1,10,50,100,1000,10000},{0.0,0.29,0.198,0.198,0.101,0.061,0.05}),"")</f>
        <v>0</v>
      </c>
      <c r="AH11" s="18">
        <f>iferror(if(AF11="",H11,AF11)*AG11,"")</f>
        <v>0</v>
      </c>
      <c r="AI11" s="20" t="s">
        <v>280</v>
      </c>
      <c r="AJ11" s="17">
        <v>20</v>
      </c>
      <c r="AL11" s="18">
        <f>iferror(lookup(if(AK11="",H11,AK11),{0,1,10,25,50,100},{0.0,0.348,0.238,0.199,0.16,0.121}),"")</f>
        <v>0</v>
      </c>
      <c r="AM11" s="18">
        <f>iferror(if(AK11="",H11,AK11)*AL11,"")</f>
        <v>0</v>
      </c>
      <c r="AN11" s="20" t="s">
        <v>310</v>
      </c>
    </row>
    <row r="12" spans="1:50">
      <c r="A12" s="17" t="s">
        <v>38</v>
      </c>
      <c r="B12" s="17" t="s">
        <v>39</v>
      </c>
      <c r="C12" s="17" t="s">
        <v>40</v>
      </c>
      <c r="D12" s="17" t="s">
        <v>42</v>
      </c>
      <c r="E12" s="17" t="s">
        <v>26</v>
      </c>
      <c r="F12" s="17" t="s">
        <v>15</v>
      </c>
      <c r="G12" s="17" t="s">
        <v>41</v>
      </c>
      <c r="H12" s="17">
        <f>BoardQty*12</f>
        <v>0</v>
      </c>
      <c r="I12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12" s="18">
        <f>iferror(H12*I12,"")</f>
        <v>0</v>
      </c>
      <c r="P12" s="17">
        <v>1954105</v>
      </c>
      <c r="R12" s="18">
        <f>iferror(lookup(if(Q12="",H12,Q12),{0,1,10,50,100,500,1000,2500,5000,15000},{0.0,0.1,0.034,0.0186,0.0152,0.01086,0.00854,0.00776,0.00714,0.00621}),"")</f>
        <v>0</v>
      </c>
      <c r="S12" s="18">
        <f>iferror(if(Q12="",H12,Q12)*R12,"")</f>
        <v>0</v>
      </c>
      <c r="T12" s="20" t="s">
        <v>210</v>
      </c>
      <c r="U12" s="17">
        <v>28932</v>
      </c>
      <c r="W12" s="18">
        <f>iferror(USD_GBP*lookup(if(V12="",H12,V12),{0,1,10,100,150,500,2500,7500,15000,75000},{0.0,0.0206,0.0206,0.0168,0.0168,0.009,0.006,0.0059,0.0054,0.0047}),"")</f>
        <v>0</v>
      </c>
      <c r="X12" s="18">
        <f>iferror(if(V12="",H12,V12)*W12,"")</f>
        <v>0</v>
      </c>
      <c r="Y12" s="20" t="s">
        <v>241</v>
      </c>
      <c r="Z12" s="17">
        <v>50300</v>
      </c>
      <c r="AB12" s="18">
        <f>iferror(lookup(if(AA12="",H12,AA12),{0,1,100,1000,3000,10000,50000,100000},{0.0,0.01727,0.01727,0.01259,0.01173,0.01087,0.01049,0.0103}),"")</f>
        <v>0</v>
      </c>
      <c r="AC12" s="18">
        <f>iferror(if(AA12="",H12,AA12)*AB12,"")</f>
        <v>0</v>
      </c>
      <c r="AD12" s="20" t="s">
        <v>267</v>
      </c>
      <c r="AE12" s="17">
        <v>789450</v>
      </c>
      <c r="AG12" s="18">
        <f>iferror(lookup(if(AF12="",H12,AF12),{0,1,10,50,100,1000,10000},{0.0,0.1,0.034,0.034,0.015,0.009,0.007}),"")</f>
        <v>0</v>
      </c>
      <c r="AH12" s="18">
        <f>iferror(if(AF12="",H12,AF12)*AG12,"")</f>
        <v>0</v>
      </c>
      <c r="AI12" s="20" t="s">
        <v>281</v>
      </c>
      <c r="AJ12" s="17">
        <v>19858</v>
      </c>
      <c r="AL12" s="18">
        <f>iferror(lookup(if(AK12="",H12,AK12),{0,1,10,25,50,100,15000},{0.0,0.12,0.041,0.033,0.026,0.018,0.008}),"")</f>
        <v>0</v>
      </c>
      <c r="AM12" s="18">
        <f>iferror(if(AK12="",H12,AK12)*AL12,"")</f>
        <v>0</v>
      </c>
      <c r="AN12" s="20" t="s">
        <v>311</v>
      </c>
      <c r="AO12" s="17">
        <v>7000</v>
      </c>
      <c r="AQ12" s="18">
        <f>iferror(USD_GBP*lookup(if(AP12="",H12,AP12),{0,1,1000,5000,10000,15000,60000},{0.0,0.007,0.007,0.006,0.006,0.004,0.004}),"")</f>
        <v>0</v>
      </c>
      <c r="AR12" s="18">
        <f>iferror(if(AP12="",H12,AP12)*AQ12,"")</f>
        <v>0</v>
      </c>
      <c r="AS12" s="20" t="s">
        <v>335</v>
      </c>
    </row>
    <row r="13" spans="1:50">
      <c r="A13" s="17" t="s">
        <v>43</v>
      </c>
      <c r="B13" s="17" t="s">
        <v>44</v>
      </c>
      <c r="C13" s="17" t="s">
        <v>45</v>
      </c>
      <c r="D13" s="17" t="s">
        <v>49</v>
      </c>
      <c r="E13" s="17" t="s">
        <v>46</v>
      </c>
      <c r="F13" s="17" t="s">
        <v>47</v>
      </c>
      <c r="G13" s="17" t="s">
        <v>48</v>
      </c>
      <c r="H13" s="17">
        <f>BoardQty*1</f>
        <v>0</v>
      </c>
      <c r="I13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13" s="18">
        <f>iferror(H13*I13,"")</f>
        <v>0</v>
      </c>
      <c r="P13" s="17">
        <v>10830</v>
      </c>
      <c r="R13" s="18">
        <f>iferror(lookup(if(Q13="",H13,Q13),{0,1,10,100,500,1000,3000,6000,15000,30000,75000},{0.0,0.18,0.166,0.0904,0.05566,0.03795,0.03226,0.0291,0.0253,0.02277,0.02024}),"")</f>
        <v>0</v>
      </c>
      <c r="S13" s="18">
        <f>iferror(if(Q13="",H13,Q13)*R13,"")</f>
        <v>0</v>
      </c>
      <c r="T13" s="20" t="s">
        <v>211</v>
      </c>
      <c r="U13" s="17">
        <v>4</v>
      </c>
      <c r="W13" s="18">
        <f>iferror(USD_GBP*lookup(if(V13="",H13,V13),{0,1,5,50,100,150,500,3000},{0.0,0.158,0.158,0.123,0.0883,0.0883,0.0365,0.0284}),"")</f>
        <v>0</v>
      </c>
      <c r="X13" s="18">
        <f>iferror(if(V13="",H13,V13)*W13,"")</f>
        <v>0</v>
      </c>
      <c r="Y13" s="20" t="s">
        <v>242</v>
      </c>
      <c r="AE13" s="17">
        <v>5460</v>
      </c>
      <c r="AG13" s="18">
        <f>iferror(lookup(if(AF13="",H13,AF13),{0,1,10,50,100,1000,10000},{0.0,0.18,0.166,0.166,0.091,0.041,0.03}),"")</f>
        <v>0</v>
      </c>
      <c r="AH13" s="18">
        <f>iferror(if(AF13="",H13,AF13)*AG13,"")</f>
        <v>0</v>
      </c>
      <c r="AI13" s="20" t="s">
        <v>282</v>
      </c>
      <c r="AJ13" s="17">
        <v>123000</v>
      </c>
      <c r="AL13" s="18">
        <f>iferror(lookup(if(AK13="",H13,AK13),{0,1,10,25,50,100,3000,6000,12000},{0.0,0.044,0.229,0.194,0.159,0.119,0.043,0.041,0.023}),"")</f>
        <v>0</v>
      </c>
      <c r="AM13" s="18">
        <f>iferror(if(AK13="",H13,AK13)*AL13,"")</f>
        <v>0</v>
      </c>
      <c r="AN13" s="20" t="s">
        <v>312</v>
      </c>
      <c r="AO13" s="17">
        <v>4550</v>
      </c>
      <c r="AQ13" s="18">
        <f>iferror(USD_GBP*lookup(if(AP13="",H13,AP13),{0,1,50,250,1000,2500,3000},{0.0,0.158,0.158,0.134,0.118,0.102,0.027}),"")</f>
        <v>0</v>
      </c>
      <c r="AR13" s="18">
        <f>iferror(if(AP13="",H13,AP13)*AQ13,"")</f>
        <v>0</v>
      </c>
      <c r="AS13" s="20" t="s">
        <v>336</v>
      </c>
    </row>
    <row r="14" spans="1:50">
      <c r="A14" s="17" t="s">
        <v>50</v>
      </c>
      <c r="B14" s="17" t="s">
        <v>51</v>
      </c>
      <c r="C14" s="17" t="s">
        <v>52</v>
      </c>
      <c r="E14" s="17" t="s">
        <v>53</v>
      </c>
      <c r="F14" s="17" t="s">
        <v>54</v>
      </c>
      <c r="G14" s="17" t="s">
        <v>51</v>
      </c>
      <c r="H14" s="17">
        <f>BoardQty*1</f>
        <v>0</v>
      </c>
      <c r="I14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14" s="18">
        <f>iferror(H14*I14,"")</f>
        <v>0</v>
      </c>
      <c r="P14" s="17">
        <v>7992</v>
      </c>
      <c r="R14" s="18">
        <f>iferror(lookup(if(Q14="",H14,Q14),{0,1,10,100,500,1000,2000,4000,8000,12000,28000,100000},{0.0,0.32,0.256,0.115,0.10388,0.08533,0.0742,0.0742,0.06678,0.05936,0.05565,0.0525}),"")</f>
        <v>0</v>
      </c>
      <c r="S14" s="18">
        <f>iferror(if(Q14="",H14,Q14)*R14,"")</f>
        <v>0</v>
      </c>
      <c r="T14" s="20" t="s">
        <v>212</v>
      </c>
      <c r="U14" s="17">
        <v>5</v>
      </c>
      <c r="W14" s="18">
        <f>iferror(USD_GBP*lookup(if(V14="",H14,V14),{0,1,4000},{0.0,0.0827,0.0827}),"")</f>
        <v>0</v>
      </c>
      <c r="X14" s="18">
        <f>iferror(if(V14="",H14,V14)*W14,"")</f>
        <v>0</v>
      </c>
      <c r="Y14" s="20" t="s">
        <v>243</v>
      </c>
      <c r="AE14" s="17">
        <v>3994</v>
      </c>
      <c r="AG14" s="18">
        <f>iferror(lookup(if(AF14="",H14,AF14),{0,1,10,50,100,1000,10000},{0.0,0.48,0.266,0.266,0.108,0.089,0.056}),"")</f>
        <v>0</v>
      </c>
      <c r="AH14" s="18">
        <f>iferror(if(AF14="",H14,AF14)*AG14,"")</f>
        <v>0</v>
      </c>
      <c r="AI14" s="20" t="s">
        <v>283</v>
      </c>
      <c r="AJ14" s="17">
        <v>5</v>
      </c>
      <c r="AL14" s="18">
        <f>iferror(lookup(if(AK14="",H14,AK14),{0,1,25,50,100,250,500},{0.0,0.32,0.256,0.186,0.115,0.109,0.103}),"")</f>
        <v>0</v>
      </c>
      <c r="AM14" s="18">
        <f>iferror(if(AK14="",H14,AK14)*AL14,"")</f>
        <v>0</v>
      </c>
      <c r="AN14" s="20" t="s">
        <v>313</v>
      </c>
      <c r="AT14" s="17">
        <v>3427</v>
      </c>
      <c r="AV14" s="18">
        <f>iferror(USD_GBP*lookup(if(AU14="",H14,AU14),{0,1,5,25,100,500,4000},{0.0,0.142,0.142,0.1228,0.0758,0.0578,0.0433}),"")</f>
        <v>0</v>
      </c>
      <c r="AW14" s="18">
        <f>iferror(if(AU14="",H14,AU14)*AV14,"")</f>
        <v>0</v>
      </c>
      <c r="AX14" s="20" t="s">
        <v>348</v>
      </c>
    </row>
    <row r="15" spans="1:50">
      <c r="A15" s="17" t="s">
        <v>55</v>
      </c>
      <c r="B15" s="17" t="s">
        <v>56</v>
      </c>
      <c r="C15" s="17" t="s">
        <v>57</v>
      </c>
      <c r="E15" s="17" t="s">
        <v>53</v>
      </c>
      <c r="F15" s="17" t="s">
        <v>54</v>
      </c>
      <c r="G15" s="17" t="s">
        <v>56</v>
      </c>
      <c r="H15" s="17">
        <f>BoardQty*1</f>
        <v>0</v>
      </c>
      <c r="I15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15" s="18">
        <f>iferror(H15*I15,"")</f>
        <v>0</v>
      </c>
      <c r="P15" s="17">
        <v>17606</v>
      </c>
      <c r="R15" s="18">
        <f>iferror(lookup(if(Q15="",H15,Q15),{0,1,10,100,500,1000,2000,4000,8000,12000,28000,100000},{0.0,0.33,0.263,0.1183,0.10684,0.08777,0.07632,0.07632,0.06869,0.06106,0.05724,0.054}),"")</f>
        <v>0</v>
      </c>
      <c r="S15" s="18">
        <f>iferror(if(Q15="",H15,Q15)*R15,"")</f>
        <v>0</v>
      </c>
      <c r="T15" s="20" t="s">
        <v>213</v>
      </c>
      <c r="U15" s="17">
        <v>3287</v>
      </c>
      <c r="W15" s="18">
        <f>iferror(USD_GBP*lookup(if(V15="",H15,V15),{0,1,25,50,100,250,500},{0.0,0.257,0.2,0.145,0.0892,0.0849,0.0813}),"")</f>
        <v>0</v>
      </c>
      <c r="X15" s="18">
        <f>iferror(if(V15="",H15,V15)*W15,"")</f>
        <v>0</v>
      </c>
      <c r="Y15" s="20" t="s">
        <v>244</v>
      </c>
      <c r="AE15" s="17">
        <v>9600</v>
      </c>
      <c r="AG15" s="18">
        <f>iferror(lookup(if(AF15="",H15,AF15),{0,1,10,50,100,1000,10000},{0.0,0.49,0.274,0.274,0.111,0.092,0.057}),"")</f>
        <v>0</v>
      </c>
      <c r="AH15" s="18">
        <f>iferror(if(AF15="",H15,AF15)*AG15,"")</f>
        <v>0</v>
      </c>
      <c r="AI15" s="20" t="s">
        <v>284</v>
      </c>
      <c r="AJ15" s="17">
        <v>3287</v>
      </c>
      <c r="AL15" s="18">
        <f>iferror(lookup(if(AK15="",H15,AK15),{0,1,25,50,100,250,500},{0.0,0.039,0.039,0.039,0.039,0.039,0.039}),"")</f>
        <v>0</v>
      </c>
      <c r="AM15" s="18">
        <f>iferror(if(AK15="",H15,AK15)*AL15,"")</f>
        <v>0</v>
      </c>
      <c r="AN15" s="20" t="s">
        <v>314</v>
      </c>
      <c r="AT15" s="17">
        <v>2779</v>
      </c>
      <c r="AV15" s="18">
        <f>iferror(USD_GBP*lookup(if(AU15="",H15,AU15),{0,1,5,25,100,500,4000},{0.0,0.142,0.142,0.1072,0.0758,0.0547,0.0394}),"")</f>
        <v>0</v>
      </c>
      <c r="AW15" s="18">
        <f>iferror(if(AU15="",H15,AU15)*AV15,"")</f>
        <v>0</v>
      </c>
      <c r="AX15" s="20" t="s">
        <v>349</v>
      </c>
    </row>
    <row r="16" spans="1:50">
      <c r="A16" s="17" t="s">
        <v>58</v>
      </c>
      <c r="B16" s="17" t="s">
        <v>59</v>
      </c>
      <c r="C16" s="17" t="s">
        <v>60</v>
      </c>
      <c r="E16" s="17" t="s">
        <v>61</v>
      </c>
      <c r="H16" s="17">
        <f>BoardQty*1</f>
        <v>0</v>
      </c>
      <c r="I16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16" s="18">
        <f>iferror(H16*I16,"")</f>
        <v>0</v>
      </c>
    </row>
    <row r="17" spans="1:45">
      <c r="A17" s="17" t="s">
        <v>62</v>
      </c>
      <c r="B17" s="17" t="s">
        <v>63</v>
      </c>
      <c r="C17" s="17" t="s">
        <v>64</v>
      </c>
      <c r="E17" s="17" t="s">
        <v>65</v>
      </c>
      <c r="H17" s="17">
        <f>BoardQty*1</f>
        <v>0</v>
      </c>
      <c r="I17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17" s="18">
        <f>iferror(H17*I17,"")</f>
        <v>0</v>
      </c>
    </row>
    <row r="18" spans="1:45">
      <c r="A18" s="17" t="s">
        <v>66</v>
      </c>
      <c r="B18" s="17" t="s">
        <v>67</v>
      </c>
      <c r="C18" s="17" t="s">
        <v>68</v>
      </c>
      <c r="E18" s="17" t="s">
        <v>69</v>
      </c>
      <c r="H18" s="17">
        <f>BoardQty*1</f>
        <v>0</v>
      </c>
      <c r="I18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18" s="18">
        <f>iferror(H18*I18,"")</f>
        <v>0</v>
      </c>
    </row>
    <row r="19" spans="1:45">
      <c r="A19" s="17" t="s">
        <v>70</v>
      </c>
      <c r="B19" s="17" t="s">
        <v>71</v>
      </c>
      <c r="C19" s="17" t="s">
        <v>72</v>
      </c>
      <c r="E19" s="17" t="s">
        <v>73</v>
      </c>
      <c r="H19" s="17">
        <f>BoardQty*1</f>
        <v>0</v>
      </c>
      <c r="I19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19" s="18">
        <f>iferror(H19*I19,"")</f>
        <v>0</v>
      </c>
    </row>
    <row r="20" spans="1:45">
      <c r="A20" s="17" t="s">
        <v>74</v>
      </c>
      <c r="B20" s="17" t="s">
        <v>75</v>
      </c>
      <c r="C20" s="17" t="s">
        <v>76</v>
      </c>
      <c r="D20" s="17" t="s">
        <v>79</v>
      </c>
      <c r="E20" s="17" t="s">
        <v>77</v>
      </c>
      <c r="F20" s="17" t="s">
        <v>78</v>
      </c>
      <c r="G20" s="17" t="s">
        <v>75</v>
      </c>
      <c r="H20" s="17">
        <f>BoardQty*1</f>
        <v>0</v>
      </c>
      <c r="I20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20" s="18">
        <f>iferror(H20*I20,"")</f>
        <v>0</v>
      </c>
      <c r="Z20" s="17">
        <v>92350</v>
      </c>
      <c r="AB20" s="18">
        <f>iferror(lookup(if(AA20="",H20,AA20),{0,1,10,30,100,500,1000},{0.0,1.77,1.36,1.26,1.13,1.07,1.06}),"")</f>
        <v>0</v>
      </c>
      <c r="AC20" s="18">
        <f>iferror(if(AA20="",H20,AA20)*AB20,"")</f>
        <v>0</v>
      </c>
      <c r="AD20" s="20" t="s">
        <v>268</v>
      </c>
    </row>
    <row r="21" spans="1:45">
      <c r="A21" s="17" t="s">
        <v>80</v>
      </c>
      <c r="B21" s="17" t="s">
        <v>81</v>
      </c>
      <c r="C21" s="17" t="s">
        <v>82</v>
      </c>
      <c r="E21" s="17" t="s">
        <v>83</v>
      </c>
      <c r="F21" s="17" t="s">
        <v>84</v>
      </c>
      <c r="G21" s="17" t="s">
        <v>85</v>
      </c>
      <c r="H21" s="17">
        <f>BoardQty*3</f>
        <v>0</v>
      </c>
      <c r="I21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21" s="18">
        <f>iferror(H21*I21,"")</f>
        <v>0</v>
      </c>
      <c r="P21" s="19" t="s">
        <v>205</v>
      </c>
      <c r="R21" s="18">
        <f>iferror(lookup(if(Q21="",H21,Q21),{0,1,10,100,1000,2500,5000,15000},{0.0,0.1,0.053,0.0217,0.00975,0.00846,0.00699,0.00607}),"")</f>
        <v>0</v>
      </c>
      <c r="S21" s="18">
        <f>iferror(if(Q21="",H21,Q21)*R21,"")</f>
        <v>0</v>
      </c>
      <c r="T21" s="20" t="s">
        <v>214</v>
      </c>
      <c r="U21" s="17">
        <v>15000</v>
      </c>
      <c r="W21" s="18">
        <f>iferror(USD_GBP*lookup(if(V21="",H21,V21),{0,1,10,100,150,500,2500,7500,15000},{0.0,0.0257,0.0257,0.0141,0.0141,0.0087,0.0046,0.0041,0.0029}),"")</f>
        <v>0</v>
      </c>
      <c r="X21" s="18">
        <f>iferror(if(V21="",H21,V21)*W21,"")</f>
        <v>0</v>
      </c>
      <c r="Y21" s="20" t="s">
        <v>245</v>
      </c>
      <c r="Z21" s="17">
        <v>13800</v>
      </c>
      <c r="AB21" s="18">
        <f>iferror(lookup(if(AA21="",H21,AA21),{0,1,50,500,1500,5000,25000,50000},{0.0,0.05923,0.05923,0.04439,0.04166,0.03893,0.03772,0.03712}),"")</f>
        <v>0</v>
      </c>
      <c r="AC21" s="18">
        <f>iferror(if(AA21="",H21,AA21)*AB21,"")</f>
        <v>0</v>
      </c>
      <c r="AD21" s="20" t="s">
        <v>269</v>
      </c>
      <c r="AE21" s="17">
        <v>11928</v>
      </c>
      <c r="AG21" s="18">
        <f>iferror(lookup(if(AF21="",H21,AF21),{0,1,10,50,100,1000,10000},{0.0,0.1,0.056,0.056,0.024,0.012,0.009}),"")</f>
        <v>0</v>
      </c>
      <c r="AH21" s="18">
        <f>iferror(if(AF21="",H21,AF21)*AG21,"")</f>
        <v>0</v>
      </c>
      <c r="AI21" s="20" t="s">
        <v>285</v>
      </c>
      <c r="AJ21" s="17">
        <v>60000</v>
      </c>
      <c r="AL21" s="18">
        <f>iferror(lookup(if(AK21="",H21,AK21),{0,1,10,25,50,100,15000},{0.0,0.11,0.062,0.05,0.038,0.026,0.009}),"")</f>
        <v>0</v>
      </c>
      <c r="AM21" s="18">
        <f>iferror(if(AK21="",H21,AK21)*AL21,"")</f>
        <v>0</v>
      </c>
      <c r="AN21" s="20" t="s">
        <v>315</v>
      </c>
    </row>
    <row r="22" spans="1:45">
      <c r="A22" s="17" t="s">
        <v>86</v>
      </c>
      <c r="B22" s="17" t="s">
        <v>87</v>
      </c>
      <c r="C22" s="17" t="s">
        <v>88</v>
      </c>
      <c r="E22" s="17" t="s">
        <v>83</v>
      </c>
      <c r="F22" s="17" t="s">
        <v>84</v>
      </c>
      <c r="G22" s="17" t="s">
        <v>89</v>
      </c>
      <c r="H22" s="17">
        <f>BoardQty*2</f>
        <v>0</v>
      </c>
      <c r="I22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22" s="18">
        <f>iferror(H22*I22,"")</f>
        <v>0</v>
      </c>
      <c r="P22" s="17">
        <v>35374</v>
      </c>
      <c r="R22" s="18">
        <f>iferror(lookup(if(Q22="",H22,Q22),{0,1,10,100,1000,2500,5000,15000},{0.0,0.1,0.028,0.0115,0.00518,0.0045,0.00371,0.00323}),"")</f>
        <v>0</v>
      </c>
      <c r="S22" s="18">
        <f>iferror(if(Q22="",H22,Q22)*R22,"")</f>
        <v>0</v>
      </c>
      <c r="T22" s="20" t="s">
        <v>215</v>
      </c>
      <c r="U22" s="19" t="s">
        <v>205</v>
      </c>
      <c r="W22" s="18">
        <f>iferror(USD_GBP*lookup(if(V22="",H22,V22),{0,1,30000},{0.0,0.0052,0.0052}),"")</f>
        <v>0</v>
      </c>
      <c r="X22" s="18">
        <f>iferror(if(V22="",H22,V22)*W22,"")</f>
        <v>0</v>
      </c>
      <c r="Y22" s="20" t="s">
        <v>246</v>
      </c>
      <c r="AE22" s="17">
        <v>76126</v>
      </c>
      <c r="AG22" s="18">
        <f>iferror(lookup(if(AF22="",H22,AF22),{0,1,10,50,100,1000,10000},{0.0,0.1,0.029,0.029,0.012,0.006,0.004}),"")</f>
        <v>0</v>
      </c>
      <c r="AH22" s="18">
        <f>iferror(if(AF22="",H22,AF22)*AG22,"")</f>
        <v>0</v>
      </c>
      <c r="AI22" s="20" t="s">
        <v>286</v>
      </c>
      <c r="AJ22" s="19" t="s">
        <v>205</v>
      </c>
      <c r="AL22" s="18">
        <f>iferror(lookup(if(AK22="",H22,AK22),{0,1,15000,30000},{0.0,0.005,0.005,0.004}),"")</f>
        <v>0</v>
      </c>
      <c r="AM22" s="18">
        <f>iferror(if(AK22="",H22,AK22)*AL22,"")</f>
        <v>0</v>
      </c>
      <c r="AN22" s="20" t="s">
        <v>316</v>
      </c>
    </row>
    <row r="23" spans="1:45">
      <c r="A23" s="17" t="s">
        <v>90</v>
      </c>
      <c r="B23" s="17" t="s">
        <v>91</v>
      </c>
      <c r="C23" s="17" t="s">
        <v>92</v>
      </c>
      <c r="E23" s="17" t="s">
        <v>83</v>
      </c>
      <c r="F23" s="17" t="s">
        <v>84</v>
      </c>
      <c r="G23" s="17" t="s">
        <v>93</v>
      </c>
      <c r="H23" s="17">
        <f>BoardQty*1</f>
        <v>0</v>
      </c>
      <c r="I23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23" s="18">
        <f>iferror(H23*I23,"")</f>
        <v>0</v>
      </c>
      <c r="P23" s="17">
        <v>197768</v>
      </c>
      <c r="R23" s="18">
        <f>iferror(lookup(if(Q23="",H23,Q23),{0,1,10,100,1000,2500,5000,15000},{0.0,0.1,0.028,0.0115,0.00518,0.0045,0.00371,0.00323}),"")</f>
        <v>0</v>
      </c>
      <c r="S23" s="18">
        <f>iferror(if(Q23="",H23,Q23)*R23,"")</f>
        <v>0</v>
      </c>
      <c r="T23" s="20" t="s">
        <v>216</v>
      </c>
      <c r="U23" s="19" t="s">
        <v>205</v>
      </c>
      <c r="W23" s="18">
        <f>iferror(USD_GBP*lookup(if(V23="",H23,V23),{0,1,30000},{0.0,0.0052,0.0052}),"")</f>
        <v>0</v>
      </c>
      <c r="X23" s="18">
        <f>iferror(if(V23="",H23,V23)*W23,"")</f>
        <v>0</v>
      </c>
      <c r="Y23" s="20" t="s">
        <v>247</v>
      </c>
      <c r="Z23" s="17">
        <v>14850</v>
      </c>
      <c r="AB23" s="18">
        <f>iferror(lookup(if(AA23="",H23,AA23),{0,1,50,500,1500,5000,25000,50000},{0.0,0.03493,0.03493,0.02618,0.02457,0.02296,0.02225,0.02189}),"")</f>
        <v>0</v>
      </c>
      <c r="AC23" s="18">
        <f>iferror(if(AA23="",H23,AA23)*AB23,"")</f>
        <v>0</v>
      </c>
      <c r="AD23" s="20" t="s">
        <v>270</v>
      </c>
      <c r="AE23" s="17">
        <v>35879</v>
      </c>
      <c r="AG23" s="18">
        <f>iferror(lookup(if(AF23="",H23,AF23),{0,1,10,50,100,1000,10000},{0.0,0.1,0.029,0.029,0.012,0.006,0.005}),"")</f>
        <v>0</v>
      </c>
      <c r="AH23" s="18">
        <f>iferror(if(AF23="",H23,AF23)*AG23,"")</f>
        <v>0</v>
      </c>
      <c r="AI23" s="20" t="s">
        <v>287</v>
      </c>
      <c r="AJ23" s="19" t="s">
        <v>205</v>
      </c>
      <c r="AL23" s="18">
        <f>iferror(lookup(if(AK23="",H23,AK23),{0,1,5000,10000,15000},{0.0,0.008,0.007,0.006,0.006}),"")</f>
        <v>0</v>
      </c>
      <c r="AM23" s="18">
        <f>iferror(if(AK23="",H23,AK23)*AL23,"")</f>
        <v>0</v>
      </c>
      <c r="AN23" s="20" t="s">
        <v>317</v>
      </c>
      <c r="AO23" s="17">
        <v>37000</v>
      </c>
      <c r="AQ23" s="18">
        <f>iferror(USD_GBP*lookup(if(AP23="",H23,AP23),{0,1,1000,5000,10000,15000},{0.0,0.004,0.004,0.004,0.004,0.004}),"")</f>
        <v>0</v>
      </c>
      <c r="AR23" s="18">
        <f>iferror(if(AP23="",H23,AP23)*AQ23,"")</f>
        <v>0</v>
      </c>
      <c r="AS23" s="20" t="s">
        <v>337</v>
      </c>
    </row>
    <row r="24" spans="1:45">
      <c r="A24" s="17" t="s">
        <v>94</v>
      </c>
      <c r="B24" s="17" t="s">
        <v>95</v>
      </c>
      <c r="C24" s="17" t="s">
        <v>96</v>
      </c>
      <c r="E24" s="17" t="s">
        <v>83</v>
      </c>
      <c r="F24" s="17" t="s">
        <v>84</v>
      </c>
      <c r="G24" s="17" t="s">
        <v>97</v>
      </c>
      <c r="H24" s="17">
        <f>BoardQty*2</f>
        <v>0</v>
      </c>
      <c r="I24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24" s="18">
        <f>iferror(H24*I24,"")</f>
        <v>0</v>
      </c>
      <c r="P24" s="19" t="s">
        <v>205</v>
      </c>
      <c r="R24" s="18">
        <f>iferror(lookup(if(Q24="",H24,Q24),{0,1,10,25,50,100,250,500,1000,5000,15000,30000,75000},{0.0,0.1,0.025,0.018,0.0136,0.01,0.00764,0.00612,0.0045,0.00323,0.00281,0.00247,0.00231}),"")</f>
        <v>0</v>
      </c>
      <c r="S24" s="18">
        <f>iferror(if(Q24="",H24,Q24)*R24,"")</f>
        <v>0</v>
      </c>
      <c r="T24" s="20" t="s">
        <v>217</v>
      </c>
      <c r="U24" s="17">
        <v>105000</v>
      </c>
      <c r="W24" s="18">
        <f>iferror(USD_GBP*lookup(if(V24="",H24,V24),{0,1,10,100,150,500,2500,7500,15000,75000},{0.0,0.04,0.04,0.024,0.024,0.018,0.012,0.009,0.0061,0.0051}),"")</f>
        <v>0</v>
      </c>
      <c r="X24" s="18">
        <f>iferror(if(V24="",H24,V24)*W24,"")</f>
        <v>0</v>
      </c>
      <c r="Y24" s="20" t="s">
        <v>248</v>
      </c>
      <c r="AE24" s="17">
        <v>814826</v>
      </c>
      <c r="AG24" s="18">
        <f>iferror(lookup(if(AF24="",H24,AF24),{0,1,10,50,100,1000,10000},{0.0,0.1,0.029,0.029,0.012,0.006,0.004}),"")</f>
        <v>0</v>
      </c>
      <c r="AH24" s="18">
        <f>iferror(if(AF24="",H24,AF24)*AG24,"")</f>
        <v>0</v>
      </c>
      <c r="AI24" s="20" t="s">
        <v>288</v>
      </c>
      <c r="AJ24" s="17">
        <v>105000</v>
      </c>
      <c r="AL24" s="18">
        <f>iferror(lookup(if(AK24="",H24,AK24),{0,1,25,100,250,500,1000,2500,5000,15000},{0.0,0.006,0.021,0.009,0.008,0.007,0.006,0.005,0.004,0.006}),"")</f>
        <v>0</v>
      </c>
      <c r="AM24" s="18">
        <f>iferror(if(AK24="",H24,AK24)*AL24,"")</f>
        <v>0</v>
      </c>
      <c r="AN24" s="20" t="s">
        <v>318</v>
      </c>
      <c r="AO24" s="17">
        <v>772637</v>
      </c>
      <c r="AQ24" s="18">
        <f>iferror(USD_GBP*lookup(if(AP24="",H24,AP24),{0,1,1000,15000},{0.0,0.004,0.004,0.005}),"")</f>
        <v>0</v>
      </c>
      <c r="AR24" s="18">
        <f>iferror(if(AP24="",H24,AP24)*AQ24,"")</f>
        <v>0</v>
      </c>
      <c r="AS24" s="20" t="s">
        <v>338</v>
      </c>
    </row>
    <row r="25" spans="1:45">
      <c r="A25" s="17" t="s">
        <v>98</v>
      </c>
      <c r="B25" s="17" t="s">
        <v>99</v>
      </c>
      <c r="C25" s="17" t="s">
        <v>100</v>
      </c>
      <c r="E25" s="17" t="s">
        <v>83</v>
      </c>
      <c r="F25" s="17" t="s">
        <v>84</v>
      </c>
      <c r="G25" s="17" t="s">
        <v>101</v>
      </c>
      <c r="H25" s="17">
        <f>BoardQty*3</f>
        <v>0</v>
      </c>
      <c r="I25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25" s="18">
        <f>iferror(H25*I25,"")</f>
        <v>0</v>
      </c>
      <c r="P25" s="17">
        <v>132420</v>
      </c>
      <c r="R25" s="18">
        <f>iferror(lookup(if(Q25="",H25,Q25),{0,1,10,100,1000,2500,5000,15000},{0.0,0.1,0.028,0.0115,0.00518,0.0045,0.00371,0.00323}),"")</f>
        <v>0</v>
      </c>
      <c r="S25" s="18">
        <f>iferror(if(Q25="",H25,Q25)*R25,"")</f>
        <v>0</v>
      </c>
      <c r="T25" s="20" t="s">
        <v>218</v>
      </c>
      <c r="U25" s="19" t="s">
        <v>205</v>
      </c>
      <c r="W25" s="18">
        <f>iferror(USD_GBP*lookup(if(V25="",H25,V25),{0,1,30000},{0.0,0.0055,0.0055}),"")</f>
        <v>0</v>
      </c>
      <c r="X25" s="18">
        <f>iferror(if(V25="",H25,V25)*W25,"")</f>
        <v>0</v>
      </c>
      <c r="Y25" s="20" t="s">
        <v>249</v>
      </c>
      <c r="AE25" s="17">
        <v>8743</v>
      </c>
      <c r="AG25" s="18">
        <f>iferror(lookup(if(AF25="",H25,AF25),{0,1,10,50,100,1000,10000},{0.0,0.1,0.031,0.031,0.014,0.007,0.005}),"")</f>
        <v>0</v>
      </c>
      <c r="AH25" s="18">
        <f>iferror(if(AF25="",H25,AF25)*AG25,"")</f>
        <v>0</v>
      </c>
      <c r="AI25" s="20" t="s">
        <v>289</v>
      </c>
      <c r="AJ25" s="19" t="s">
        <v>205</v>
      </c>
      <c r="AL25" s="18">
        <f>iferror(lookup(if(AK25="",H25,AK25),{0,1,15000,30000},{0.0,0.005,0.005,0.004}),"")</f>
        <v>0</v>
      </c>
      <c r="AM25" s="18">
        <f>iferror(if(AK25="",H25,AK25)*AL25,"")</f>
        <v>0</v>
      </c>
      <c r="AN25" s="20" t="s">
        <v>319</v>
      </c>
      <c r="AO25" s="17">
        <v>38000</v>
      </c>
      <c r="AQ25" s="18">
        <f>iferror(USD_GBP*lookup(if(AP25="",H25,AP25),{0,1,1000,5000,10000,15000},{0.0,0.005,0.005,0.005,0.005,0.005}),"")</f>
        <v>0</v>
      </c>
      <c r="AR25" s="18">
        <f>iferror(if(AP25="",H25,AP25)*AQ25,"")</f>
        <v>0</v>
      </c>
      <c r="AS25" s="20" t="s">
        <v>339</v>
      </c>
    </row>
    <row r="26" spans="1:45">
      <c r="A26" s="17" t="s">
        <v>102</v>
      </c>
      <c r="B26" s="17" t="s">
        <v>103</v>
      </c>
      <c r="C26" s="17" t="s">
        <v>104</v>
      </c>
      <c r="E26" s="17" t="s">
        <v>83</v>
      </c>
      <c r="F26" s="17" t="s">
        <v>84</v>
      </c>
      <c r="G26" s="17" t="s">
        <v>105</v>
      </c>
      <c r="H26" s="17">
        <f>BoardQty*1</f>
        <v>0</v>
      </c>
      <c r="I26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26" s="18">
        <f>iferror(H26*I26,"")</f>
        <v>0</v>
      </c>
      <c r="P26" s="19" t="s">
        <v>205</v>
      </c>
      <c r="R26" s="18">
        <f>iferror(lookup(if(Q26="",H26,Q26),{0,1,10,100,1000,2500,5000,15000},{0.0,0.1,0.028,0.0115,0.00518,0.0045,0.00371,0.00323}),"")</f>
        <v>0</v>
      </c>
      <c r="S26" s="18">
        <f>iferror(if(Q26="",H26,Q26)*R26,"")</f>
        <v>0</v>
      </c>
      <c r="T26" s="20" t="s">
        <v>219</v>
      </c>
      <c r="U26" s="19" t="s">
        <v>205</v>
      </c>
      <c r="W26" s="18">
        <f>iferror(USD_GBP*lookup(if(V26="",H26,V26),{0,1,30000},{0.0,0.0052,0.0052}),"")</f>
        <v>0</v>
      </c>
      <c r="X26" s="18">
        <f>iferror(if(V26="",H26,V26)*W26,"")</f>
        <v>0</v>
      </c>
      <c r="Y26" s="20" t="s">
        <v>250</v>
      </c>
      <c r="AE26" s="19" t="s">
        <v>205</v>
      </c>
      <c r="AG26" s="18">
        <f>iferror(lookup(if(AF26="",H26,AF26),{0,1,10,50,100,1000,10000},{0.0,0.1,0.031,0.031,0.014,0.007,0.005}),"")</f>
        <v>0</v>
      </c>
      <c r="AH26" s="18">
        <f>iferror(if(AF26="",H26,AF26)*AG26,"")</f>
        <v>0</v>
      </c>
      <c r="AI26" s="20" t="s">
        <v>290</v>
      </c>
      <c r="AJ26" s="19" t="s">
        <v>205</v>
      </c>
      <c r="AL26" s="18">
        <f>iferror(lookup(if(AK26="",H26,AK26),{0,1,5000,10000,15000},{0.0,0.008,0.007,0.006,0.006}),"")</f>
        <v>0</v>
      </c>
      <c r="AM26" s="18">
        <f>iferror(if(AK26="",H26,AK26)*AL26,"")</f>
        <v>0</v>
      </c>
      <c r="AN26" s="20" t="s">
        <v>320</v>
      </c>
    </row>
    <row r="27" spans="1:45">
      <c r="A27" s="17" t="s">
        <v>106</v>
      </c>
      <c r="B27" s="17" t="s">
        <v>107</v>
      </c>
      <c r="C27" s="17" t="s">
        <v>108</v>
      </c>
      <c r="E27" s="17" t="s">
        <v>83</v>
      </c>
      <c r="F27" s="17" t="s">
        <v>84</v>
      </c>
      <c r="G27" s="17" t="s">
        <v>109</v>
      </c>
      <c r="H27" s="17">
        <f>BoardQty*2</f>
        <v>0</v>
      </c>
      <c r="I27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27" s="18">
        <f>iferror(H27*I27,"")</f>
        <v>0</v>
      </c>
      <c r="P27" s="17">
        <v>95335</v>
      </c>
      <c r="R27" s="18">
        <f>iferror(lookup(if(Q27="",H27,Q27),{0,1,10,100,1000,2500,5000,15000},{0.0,0.1,0.028,0.0115,0.00518,0.0045,0.00371,0.00323}),"")</f>
        <v>0</v>
      </c>
      <c r="S27" s="18">
        <f>iferror(if(Q27="",H27,Q27)*R27,"")</f>
        <v>0</v>
      </c>
      <c r="T27" s="20" t="s">
        <v>220</v>
      </c>
      <c r="U27" s="19" t="s">
        <v>205</v>
      </c>
      <c r="W27" s="18">
        <f>iferror(USD_GBP*lookup(if(V27="",H27,V27),{0,1,30000},{0.0,0.007,0.007}),"")</f>
        <v>0</v>
      </c>
      <c r="X27" s="18">
        <f>iferror(if(V27="",H27,V27)*W27,"")</f>
        <v>0</v>
      </c>
      <c r="Y27" s="20" t="s">
        <v>251</v>
      </c>
      <c r="AE27" s="17">
        <v>33452</v>
      </c>
      <c r="AG27" s="18">
        <f>iferror(lookup(if(AF27="",H27,AF27),{0,1,10,50,100,1000,10000},{0.0,0.1,0.029,0.029,0.012,0.006,0.004}),"")</f>
        <v>0</v>
      </c>
      <c r="AH27" s="18">
        <f>iferror(if(AF27="",H27,AF27)*AG27,"")</f>
        <v>0</v>
      </c>
      <c r="AI27" s="20" t="s">
        <v>291</v>
      </c>
      <c r="AJ27" s="19" t="s">
        <v>205</v>
      </c>
      <c r="AL27" s="18">
        <f>iferror(lookup(if(AK27="",H27,AK27),{0,1,15000,30000},{0.0,0.005,0.005,0.004}),"")</f>
        <v>0</v>
      </c>
      <c r="AM27" s="18">
        <f>iferror(if(AK27="",H27,AK27)*AL27,"")</f>
        <v>0</v>
      </c>
      <c r="AN27" s="20" t="s">
        <v>321</v>
      </c>
      <c r="AO27" s="17">
        <v>28000</v>
      </c>
      <c r="AQ27" s="18">
        <f>iferror(USD_GBP*lookup(if(AP27="",H27,AP27),{0,1,1000,5000,10000,15000},{0.0,0.005,0.005,0.005,0.005,0.004}),"")</f>
        <v>0</v>
      </c>
      <c r="AR27" s="18">
        <f>iferror(if(AP27="",H27,AP27)*AQ27,"")</f>
        <v>0</v>
      </c>
      <c r="AS27" s="20" t="s">
        <v>340</v>
      </c>
    </row>
    <row r="28" spans="1:45">
      <c r="A28" s="17" t="s">
        <v>110</v>
      </c>
      <c r="B28" s="17" t="s">
        <v>111</v>
      </c>
      <c r="C28" s="17" t="s">
        <v>112</v>
      </c>
      <c r="E28" s="17" t="s">
        <v>83</v>
      </c>
      <c r="F28" s="17" t="s">
        <v>84</v>
      </c>
      <c r="G28" s="17" t="s">
        <v>113</v>
      </c>
      <c r="H28" s="17">
        <f>BoardQty*1</f>
        <v>0</v>
      </c>
      <c r="I28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28" s="18">
        <f>iferror(H28*I28,"")</f>
        <v>0</v>
      </c>
      <c r="P28" s="17">
        <v>46291</v>
      </c>
      <c r="R28" s="18">
        <f>iferror(lookup(if(Q28="",H28,Q28),{0,1,10,100,1000,2500,5000,15000},{0.0,0.1,0.053,0.0217,0.00975,0.00846,0.00699,0.00607}),"")</f>
        <v>0</v>
      </c>
      <c r="S28" s="18">
        <f>iferror(if(Q28="",H28,Q28)*R28,"")</f>
        <v>0</v>
      </c>
      <c r="T28" s="20" t="s">
        <v>221</v>
      </c>
      <c r="U28" s="19" t="s">
        <v>205</v>
      </c>
      <c r="W28" s="18">
        <f>iferror(USD_GBP*lookup(if(V28="",H28,V28),{0,1,30000},{0.0,0.0063,0.0063}),"")</f>
        <v>0</v>
      </c>
      <c r="X28" s="18">
        <f>iferror(if(V28="",H28,V28)*W28,"")</f>
        <v>0</v>
      </c>
      <c r="Y28" s="20" t="s">
        <v>252</v>
      </c>
      <c r="AE28" s="17">
        <v>4916</v>
      </c>
      <c r="AG28" s="18">
        <f>iferror(lookup(if(AF28="",H28,AF28),{0,1,10,50,100,1000,10000},{0.0,0.1,0.053,0.053,0.022,0.01,0.007}),"")</f>
        <v>0</v>
      </c>
      <c r="AH28" s="18">
        <f>iferror(if(AF28="",H28,AF28)*AG28,"")</f>
        <v>0</v>
      </c>
      <c r="AI28" s="20" t="s">
        <v>292</v>
      </c>
    </row>
    <row r="29" spans="1:45">
      <c r="A29" s="17" t="s">
        <v>114</v>
      </c>
      <c r="B29" s="17" t="s">
        <v>115</v>
      </c>
      <c r="C29" s="17" t="s">
        <v>116</v>
      </c>
      <c r="E29" s="17" t="s">
        <v>83</v>
      </c>
      <c r="F29" s="17" t="s">
        <v>84</v>
      </c>
      <c r="G29" s="17" t="s">
        <v>117</v>
      </c>
      <c r="H29" s="17">
        <f>BoardQty*1</f>
        <v>0</v>
      </c>
      <c r="I29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29" s="18">
        <f>iferror(H29*I29,"")</f>
        <v>0</v>
      </c>
      <c r="P29" s="19" t="s">
        <v>205</v>
      </c>
      <c r="R29" s="18">
        <f>iferror(lookup(if(Q29="",H29,Q29),{0,1,10,100,1000,2500,5000,15000},{0.0,0.1,0.053,0.0217,0.00975,0.00846,0.00699,0.00607}),"")</f>
        <v>0</v>
      </c>
      <c r="S29" s="18">
        <f>iferror(if(Q29="",H29,Q29)*R29,"")</f>
        <v>0</v>
      </c>
      <c r="T29" s="20" t="s">
        <v>222</v>
      </c>
      <c r="U29" s="19" t="s">
        <v>205</v>
      </c>
      <c r="W29" s="18">
        <f>iferror(USD_GBP*lookup(if(V29="",H29,V29),{0,1,10,100,150,500,2500,7500,15000,75000},{0.0,0.0486,0.0486,0.0195,0.0195,0.0082,0.0068,0.006,0.0056,0.0054}),"")</f>
        <v>0</v>
      </c>
      <c r="X29" s="18">
        <f>iferror(if(V29="",H29,V29)*W29,"")</f>
        <v>0</v>
      </c>
      <c r="Y29" s="20" t="s">
        <v>253</v>
      </c>
      <c r="Z29" s="17">
        <v>200</v>
      </c>
      <c r="AB29" s="18">
        <f>iferror(lookup(if(AA29="",H29,AA29),{0,1,50,500,1500,5000,25000,50000},{0.0,0.05864,0.05864,0.04379,0.04107,0.03834,0.03713,0.03653}),"")</f>
        <v>0</v>
      </c>
      <c r="AC29" s="18">
        <f>iferror(if(AA29="",H29,AA29)*AB29,"")</f>
        <v>0</v>
      </c>
      <c r="AD29" s="20" t="s">
        <v>271</v>
      </c>
      <c r="AE29" s="17">
        <v>470109</v>
      </c>
      <c r="AG29" s="18">
        <f>iferror(lookup(if(AF29="",H29,AF29),{0,1,10,50,100,1000,10000},{0.0,0.1,0.053,0.053,0.022,0.021,0.019}),"")</f>
        <v>0</v>
      </c>
      <c r="AH29" s="18">
        <f>iferror(if(AF29="",H29,AF29)*AG29,"")</f>
        <v>0</v>
      </c>
      <c r="AI29" s="20" t="s">
        <v>293</v>
      </c>
      <c r="AJ29" s="17">
        <v>176</v>
      </c>
      <c r="AL29" s="18">
        <f>iferror(lookup(if(AK29="",H29,AK29),{0,1,10,25,50,100,250,500,1000,2500,10000,15000,20000},{0.0,0.101,0.058,0.059,0.036,0.024,0.02,0.015,0.011,0.008,0.013,0.013,0.009}),"")</f>
        <v>0</v>
      </c>
      <c r="AM29" s="18">
        <f>iferror(if(AK29="",H29,AK29)*AL29,"")</f>
        <v>0</v>
      </c>
      <c r="AN29" s="20" t="s">
        <v>322</v>
      </c>
      <c r="AO29" s="17">
        <v>3000</v>
      </c>
      <c r="AQ29" s="18">
        <f>iferror(USD_GBP*lookup(if(AP29="",H29,AP29),{0,1,1000,5000,10000,15000},{0.0,0.007,0.007,0.006,0.006,0.006}),"")</f>
        <v>0</v>
      </c>
      <c r="AR29" s="18">
        <f>iferror(if(AP29="",H29,AP29)*AQ29,"")</f>
        <v>0</v>
      </c>
      <c r="AS29" s="20" t="s">
        <v>341</v>
      </c>
    </row>
    <row r="30" spans="1:45">
      <c r="A30" s="17" t="s">
        <v>118</v>
      </c>
      <c r="B30" s="17" t="s">
        <v>119</v>
      </c>
      <c r="C30" s="17" t="s">
        <v>120</v>
      </c>
      <c r="E30" s="17" t="s">
        <v>83</v>
      </c>
      <c r="F30" s="17" t="s">
        <v>84</v>
      </c>
      <c r="G30" s="17" t="s">
        <v>121</v>
      </c>
      <c r="H30" s="17">
        <f>BoardQty*4</f>
        <v>0</v>
      </c>
      <c r="I30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30" s="18">
        <f>iferror(H30*I30,"")</f>
        <v>0</v>
      </c>
      <c r="P30" s="17">
        <v>2000</v>
      </c>
      <c r="R30" s="18">
        <f>iferror(lookup(if(Q30="",H30,Q30),{0,1,10,100,1000,2500,5000,15000},{0.0,0.1,0.053,0.0217,0.00975,0.00846,0.00699,0.00607}),"")</f>
        <v>0</v>
      </c>
      <c r="S30" s="18">
        <f>iferror(if(Q30="",H30,Q30)*R30,"")</f>
        <v>0</v>
      </c>
      <c r="T30" s="20" t="s">
        <v>223</v>
      </c>
      <c r="U30" s="17">
        <v>64759</v>
      </c>
      <c r="W30" s="18">
        <f>iferror(USD_GBP*lookup(if(V30="",H30,V30),{0,1,10,100,150,500,2500,7500,15000,75000},{0.0,0.0558,0.0558,0.0227,0.0227,0.0097,0.0081,0.0072,0.0056,0.0054}),"")</f>
        <v>0</v>
      </c>
      <c r="X30" s="18">
        <f>iferror(if(V30="",H30,V30)*W30,"")</f>
        <v>0</v>
      </c>
      <c r="Y30" s="20" t="s">
        <v>254</v>
      </c>
      <c r="Z30" s="17">
        <v>15000</v>
      </c>
      <c r="AB30" s="18">
        <f>iferror(lookup(if(AA30="",H30,AA30),{0,1,50,500,1500,5000,25000,50000},{0.0,0.05893,0.05893,0.04424,0.04154,0.03884,0.03764,0.03705}),"")</f>
        <v>0</v>
      </c>
      <c r="AC30" s="18">
        <f>iferror(if(AA30="",H30,AA30)*AB30,"")</f>
        <v>0</v>
      </c>
      <c r="AD30" s="20" t="s">
        <v>272</v>
      </c>
      <c r="AE30" s="17">
        <v>9436</v>
      </c>
      <c r="AG30" s="18">
        <f>iferror(lookup(if(AF30="",H30,AF30),{0,1,10,50,100,1000,10000},{0.0,0.1,0.053,0.053,0.022,0.01,0.007}),"")</f>
        <v>0</v>
      </c>
      <c r="AH30" s="18">
        <f>iferror(if(AF30="",H30,AF30)*AG30,"")</f>
        <v>0</v>
      </c>
      <c r="AI30" s="20" t="s">
        <v>294</v>
      </c>
      <c r="AJ30" s="17">
        <v>56605</v>
      </c>
      <c r="AL30" s="18">
        <f>iferror(lookup(if(AK30="",H30,AK30),{0,1,10,25,50,100,250,500,1000,2500,5000,10000,15000,20000},{0.0,0.11,0.057,0.046,0.035,0.024,0.022,0.016,0.011,0.01,0.009,0.013,0.013,0.009}),"")</f>
        <v>0</v>
      </c>
      <c r="AM30" s="18">
        <f>iferror(if(AK30="",H30,AK30)*AL30,"")</f>
        <v>0</v>
      </c>
      <c r="AN30" s="20" t="s">
        <v>323</v>
      </c>
      <c r="AO30" s="17">
        <v>699000</v>
      </c>
      <c r="AQ30" s="18">
        <f>iferror(USD_GBP*lookup(if(AP30="",H30,AP30),{0,1,1000,15000},{0.0,0.007,0.007,0.006}),"")</f>
        <v>0</v>
      </c>
      <c r="AR30" s="18">
        <f>iferror(if(AP30="",H30,AP30)*AQ30,"")</f>
        <v>0</v>
      </c>
      <c r="AS30" s="20" t="s">
        <v>342</v>
      </c>
    </row>
    <row r="31" spans="1:45">
      <c r="A31" s="17" t="s">
        <v>122</v>
      </c>
      <c r="B31" s="17" t="s">
        <v>123</v>
      </c>
      <c r="C31" s="17" t="s">
        <v>124</v>
      </c>
      <c r="E31" s="17" t="s">
        <v>125</v>
      </c>
      <c r="F31" s="17" t="s">
        <v>126</v>
      </c>
      <c r="G31" s="17" t="s">
        <v>123</v>
      </c>
      <c r="H31" s="17">
        <f>BoardQty*1</f>
        <v>0</v>
      </c>
      <c r="I31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31" s="18">
        <f>iferror(H31*I31,"")</f>
        <v>0</v>
      </c>
      <c r="P31" s="17">
        <v>6438</v>
      </c>
      <c r="R31" s="18">
        <f>iferror(lookup(if(Q31="",H31,Q31),{0,1,10,25,100,250,500,1000,2500,8500,17000},{0.0,0.22,0.211,0.2,0.1819,0.171,0.15644,0.13097,0.12733,0.12005,0.11278}),"")</f>
        <v>0</v>
      </c>
      <c r="S31" s="18">
        <f>iferror(if(Q31="",H31,Q31)*R31,"")</f>
        <v>0</v>
      </c>
      <c r="T31" s="20" t="s">
        <v>224</v>
      </c>
      <c r="U31" s="17">
        <v>882</v>
      </c>
      <c r="W31" s="18">
        <f>iferror(USD_GBP*lookup(if(V31="",H31,V31),{0,1,10,50,100,500},{0.0,0.151,0.151,0.143,0.13,0.112}),"")</f>
        <v>0</v>
      </c>
      <c r="X31" s="18">
        <f>iferror(if(V31="",H31,V31)*W31,"")</f>
        <v>0</v>
      </c>
      <c r="Y31" s="20" t="s">
        <v>255</v>
      </c>
      <c r="AE31" s="17">
        <v>9735</v>
      </c>
      <c r="AG31" s="18">
        <f>iferror(lookup(if(AF31="",H31,AF31),{0,1,10,50,100,1000,10000},{0.0,0.23,0.218,0.201,0.189,0.154,0.154}),"")</f>
        <v>0</v>
      </c>
      <c r="AH31" s="18">
        <f>iferror(if(AF31="",H31,AF31)*AG31,"")</f>
        <v>0</v>
      </c>
      <c r="AI31" s="20" t="s">
        <v>295</v>
      </c>
      <c r="AJ31" s="17">
        <v>7158</v>
      </c>
      <c r="AL31" s="18">
        <f>iferror(lookup(if(AK31="",H31,AK31),{0,1,8500,100000},{0.0,0.157,0.172,0.144}),"")</f>
        <v>0</v>
      </c>
      <c r="AM31" s="18">
        <f>iferror(if(AK31="",H31,AK31)*AL31,"")</f>
        <v>0</v>
      </c>
      <c r="AN31" s="20" t="s">
        <v>324</v>
      </c>
    </row>
    <row r="32" spans="1:45">
      <c r="A32" s="17" t="s">
        <v>127</v>
      </c>
      <c r="B32" s="17" t="s">
        <v>128</v>
      </c>
      <c r="C32" s="17" t="s">
        <v>129</v>
      </c>
      <c r="E32" s="17" t="s">
        <v>130</v>
      </c>
      <c r="F32" s="17" t="s">
        <v>131</v>
      </c>
      <c r="G32" s="17" t="s">
        <v>128</v>
      </c>
      <c r="H32" s="17">
        <f>BoardQty*2</f>
        <v>0</v>
      </c>
      <c r="I32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32" s="18">
        <f>iferror(H32*I32,"")</f>
        <v>0</v>
      </c>
      <c r="P32" s="17">
        <v>481</v>
      </c>
      <c r="R32" s="18">
        <f>iferror(lookup(if(Q32="",H32,Q32),{0,1,10,25,100,250,500,1000,3000,6000,15000},{0.0,0.46,0.343,0.3004,0.1945,0.161,0.1288,0.09874,0.08586,0.07727,0.07087}),"")</f>
        <v>0</v>
      </c>
      <c r="S32" s="18">
        <f>iferror(if(Q32="",H32,Q32)*R32,"")</f>
        <v>0</v>
      </c>
      <c r="T32" s="20" t="s">
        <v>225</v>
      </c>
      <c r="U32" s="17">
        <v>1437</v>
      </c>
      <c r="W32" s="18">
        <f>iferror(USD_GBP*lookup(if(V32="",H32,V32),{0,1,5,10,100,500},{0.0,0.543,0.543,0.397,0.18,0.103}),"")</f>
        <v>0</v>
      </c>
      <c r="X32" s="18">
        <f>iferror(if(V32="",H32,V32)*W32,"")</f>
        <v>0</v>
      </c>
      <c r="Y32" s="20" t="s">
        <v>256</v>
      </c>
      <c r="AE32" s="17">
        <v>939</v>
      </c>
      <c r="AG32" s="18">
        <f>iferror(lookup(if(AF32="",H32,AF32),{0,1,10,50,100,1000,10000},{0.0,0.46,0.343,0.343,0.172,0.099,0.077}),"")</f>
        <v>0</v>
      </c>
      <c r="AH32" s="18">
        <f>iferror(if(AF32="",H32,AF32)*AG32,"")</f>
        <v>0</v>
      </c>
      <c r="AI32" s="20" t="s">
        <v>296</v>
      </c>
      <c r="AJ32" s="17">
        <v>1412</v>
      </c>
      <c r="AL32" s="18">
        <f>iferror(lookup(if(AK32="",H32,AK32),{0,1,5,10,100,6000,9000,18000,48000,90000},{0.0,0.399,0.399,0.326,0.151,0.065,0.065,0.061,0.056,0.053}),"")</f>
        <v>0</v>
      </c>
      <c r="AM32" s="18">
        <f>iferror(if(AK32="",H32,AK32)*AL32,"")</f>
        <v>0</v>
      </c>
      <c r="AN32" s="20" t="s">
        <v>325</v>
      </c>
      <c r="AO32" s="17">
        <v>3000</v>
      </c>
      <c r="AQ32" s="18">
        <f>iferror(USD_GBP*lookup(if(AP32="",H32,AP32),{0,1,30,120,1020,3000,9000,24000,45000,99000},{0.0,0.035,0.035,0.032,0.03,0.029,0.028,0.03,0.029,0.028}),"")</f>
        <v>0</v>
      </c>
      <c r="AR32" s="18">
        <f>iferror(if(AP32="",H32,AP32)*AQ32,"")</f>
        <v>0</v>
      </c>
      <c r="AS32" s="20" t="s">
        <v>343</v>
      </c>
    </row>
    <row r="33" spans="1:50">
      <c r="A33" s="17" t="s">
        <v>132</v>
      </c>
      <c r="B33" s="17" t="s">
        <v>133</v>
      </c>
      <c r="C33" s="17" t="s">
        <v>134</v>
      </c>
      <c r="D33" s="17" t="s">
        <v>137</v>
      </c>
      <c r="E33" s="17" t="s">
        <v>135</v>
      </c>
      <c r="F33" s="17" t="s">
        <v>136</v>
      </c>
      <c r="G33" s="17" t="s">
        <v>133</v>
      </c>
      <c r="H33" s="17">
        <f>BoardQty*1</f>
        <v>0</v>
      </c>
      <c r="I33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33" s="18">
        <f>iferror(H33*I33,"")</f>
        <v>0</v>
      </c>
      <c r="P33" s="17">
        <v>16413</v>
      </c>
      <c r="R33" s="18">
        <f>iferror(lookup(if(Q33="",H33,Q33),{0,1,10,25,50,100,250,500,1000,5000},{0.0,1.97,1.798,1.7496,1.7408,1.556,1.55152,1.5281,1.46322,1.36231}),"")</f>
        <v>0</v>
      </c>
      <c r="S33" s="18">
        <f>iferror(if(Q33="",H33,Q33)*R33,"")</f>
        <v>0</v>
      </c>
      <c r="T33" s="20" t="s">
        <v>226</v>
      </c>
    </row>
    <row r="34" spans="1:50">
      <c r="A34" s="17" t="s">
        <v>138</v>
      </c>
      <c r="B34" s="17" t="s">
        <v>139</v>
      </c>
      <c r="C34" s="17" t="s">
        <v>140</v>
      </c>
      <c r="E34" s="17" t="s">
        <v>141</v>
      </c>
      <c r="F34" s="17" t="s">
        <v>142</v>
      </c>
      <c r="G34" s="17" t="s">
        <v>139</v>
      </c>
      <c r="H34" s="17">
        <f>BoardQty*1</f>
        <v>0</v>
      </c>
      <c r="I34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34" s="18">
        <f>iferror(H34*I34,"")</f>
        <v>0</v>
      </c>
      <c r="P34" s="19" t="s">
        <v>205</v>
      </c>
      <c r="R34" s="18">
        <f>iferror(lookup(if(Q34="",H34,Q34),{0,1,25,100,2000},{0.0,6.0,5.25,5.005,5.005}),"")</f>
        <v>0</v>
      </c>
      <c r="S34" s="18">
        <f>iferror(if(Q34="",H34,Q34)*R34,"")</f>
        <v>0</v>
      </c>
      <c r="T34" s="20" t="s">
        <v>227</v>
      </c>
      <c r="U34" s="17">
        <v>2000</v>
      </c>
      <c r="W34" s="18">
        <f>iferror(USD_GBP*lookup(if(V34="",H34,V34),{0,1,25,100,150},{0.0,4.86,4.26,4.06,4.06}),"")</f>
        <v>0</v>
      </c>
      <c r="X34" s="18">
        <f>iferror(if(V34="",H34,V34)*W34,"")</f>
        <v>0</v>
      </c>
      <c r="Y34" s="20" t="s">
        <v>257</v>
      </c>
      <c r="AE34" s="19" t="s">
        <v>205</v>
      </c>
      <c r="AG34" s="18">
        <f>iferror(lookup(if(AF34="",H34,AF34),{0,1,10,50,100,1000,10000},{0.0,6.06,6.06,5.31,5.06,5.06,5.05}),"")</f>
        <v>0</v>
      </c>
      <c r="AH34" s="18">
        <f>iferror(if(AF34="",H34,AF34)*AG34,"")</f>
        <v>0</v>
      </c>
      <c r="AI34" s="20" t="s">
        <v>297</v>
      </c>
      <c r="AJ34" s="17">
        <v>1998</v>
      </c>
      <c r="AL34" s="18">
        <f>iferror(lookup(if(AK34="",H34,AK34),{0,1,10,25,2000,4000,8000,12000},{0.0,5.56,6.03,5.77,5.43,5.27,4.95,4.72}),"")</f>
        <v>0</v>
      </c>
      <c r="AM34" s="18">
        <f>iferror(if(AK34="",H34,AK34)*AL34,"")</f>
        <v>0</v>
      </c>
      <c r="AN34" s="20" t="s">
        <v>326</v>
      </c>
    </row>
    <row r="35" spans="1:50">
      <c r="A35" s="17" t="s">
        <v>143</v>
      </c>
      <c r="B35" s="17" t="s">
        <v>144</v>
      </c>
      <c r="C35" s="17" t="s">
        <v>145</v>
      </c>
      <c r="E35" s="17" t="s">
        <v>130</v>
      </c>
      <c r="F35" s="17" t="s">
        <v>131</v>
      </c>
      <c r="G35" s="17" t="s">
        <v>144</v>
      </c>
      <c r="H35" s="17">
        <f>BoardQty*1</f>
        <v>0</v>
      </c>
      <c r="I35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35" s="18">
        <f>iferror(H35*I35,"")</f>
        <v>0</v>
      </c>
      <c r="P35" s="19" t="s">
        <v>205</v>
      </c>
      <c r="R35" s="18">
        <f>iferror(lookup(if(Q35="",H35,Q35),{0,1,10,25,100,250,500,1000,3000},{0.0,0.47,0.402,0.3756,0.3004,0.27892,0.236,0.18236,0.1771}),"")</f>
        <v>0</v>
      </c>
      <c r="S35" s="18">
        <f>iferror(if(Q35="",H35,Q35)*R35,"")</f>
        <v>0</v>
      </c>
      <c r="T35" s="20" t="s">
        <v>228</v>
      </c>
      <c r="U35" s="19" t="s">
        <v>205</v>
      </c>
      <c r="W35" s="18">
        <f>iferror(USD_GBP*lookup(if(V35="",H35,V35),{0,1,5,10,100,150,500},{0.0,0.554,0.554,0.464,0.286,0.286,0.189}),"")</f>
        <v>0</v>
      </c>
      <c r="X35" s="18">
        <f>iferror(if(V35="",H35,V35)*W35,"")</f>
        <v>0</v>
      </c>
      <c r="Y35" s="20" t="s">
        <v>258</v>
      </c>
      <c r="AE35" s="17">
        <v>33612</v>
      </c>
      <c r="AG35" s="18">
        <f>iferror(lookup(if(AF35="",H35,AF35),{0,1,10,50,100,1000,10000},{0.0,0.47,0.376,0.376,0.279,0.183,0.166}),"")</f>
        <v>0</v>
      </c>
      <c r="AH35" s="18">
        <f>iferror(if(AF35="",H35,AF35)*AG35,"")</f>
        <v>0</v>
      </c>
      <c r="AI35" s="20" t="s">
        <v>298</v>
      </c>
      <c r="AJ35" s="19" t="s">
        <v>205</v>
      </c>
      <c r="AL35" s="18">
        <f>iferror(lookup(if(AK35="",H35,AK35),{0,1,5,10,100,3000,6000,12000,18000,24000},{0.0,0.646,0.646,0.538,0.384,0.146,0.143,0.14,0.138,0.136}),"")</f>
        <v>0</v>
      </c>
      <c r="AM35" s="18">
        <f>iferror(if(AK35="",H35,AK35)*AL35,"")</f>
        <v>0</v>
      </c>
      <c r="AN35" s="20" t="s">
        <v>327</v>
      </c>
      <c r="AO35" s="17">
        <v>12</v>
      </c>
      <c r="AQ35" s="18">
        <f>iferror(USD_GBP*lookup(if(AP35="",H35,AP35),{0,1,18,108,1008,3000,3006,9000},{0.0,0.307,0.307,0.157,0.118,0.142,0.097,0.147}),"")</f>
        <v>0</v>
      </c>
      <c r="AR35" s="18">
        <f>iferror(if(AP35="",H35,AP35)*AQ35,"")</f>
        <v>0</v>
      </c>
      <c r="AS35" s="20" t="s">
        <v>344</v>
      </c>
    </row>
    <row r="36" spans="1:50">
      <c r="A36" s="17" t="s">
        <v>146</v>
      </c>
      <c r="B36" s="17" t="s">
        <v>147</v>
      </c>
      <c r="C36" s="17" t="s">
        <v>148</v>
      </c>
      <c r="E36" s="17" t="s">
        <v>149</v>
      </c>
      <c r="F36" s="17" t="s">
        <v>131</v>
      </c>
      <c r="G36" s="17" t="s">
        <v>147</v>
      </c>
      <c r="H36" s="17">
        <f>BoardQty*1</f>
        <v>0</v>
      </c>
      <c r="I36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36" s="18">
        <f>iferror(H36*I36,"")</f>
        <v>0</v>
      </c>
      <c r="P36" s="17">
        <v>425</v>
      </c>
      <c r="R36" s="18">
        <f>iferror(lookup(if(Q36="",H36,Q36),{0,1,10,25,100,250,500,1000,3000},{0.0,1.06,0.95,0.9012,0.7404,0.69212,0.61166,0.53148,0.53147}),"")</f>
        <v>0</v>
      </c>
      <c r="S36" s="18">
        <f>iferror(if(Q36="",H36,Q36)*R36,"")</f>
        <v>0</v>
      </c>
      <c r="T36" s="20" t="s">
        <v>229</v>
      </c>
      <c r="U36" s="17">
        <v>1817</v>
      </c>
      <c r="W36" s="18">
        <f>iferror(USD_GBP*lookup(if(V36="",H36,V36),{0,1,5,10,100,500},{0.0,1.25,1.25,0.929,0.713,0.497}),"")</f>
        <v>0</v>
      </c>
      <c r="X36" s="18">
        <f>iferror(if(V36="",H36,V36)*W36,"")</f>
        <v>0</v>
      </c>
      <c r="Y36" s="20" t="s">
        <v>259</v>
      </c>
      <c r="Z36" s="17">
        <v>2658</v>
      </c>
      <c r="AB36" s="18">
        <f>iferror(lookup(if(AA36="",H36,AA36),{0,1,10,30,100,500,1000},{0.0,5.12,3.8,3.55,3.31,3.2,3.15}),"")</f>
        <v>0</v>
      </c>
      <c r="AC36" s="18">
        <f>iferror(if(AA36="",H36,AA36)*AB36,"")</f>
        <v>0</v>
      </c>
      <c r="AD36" s="20" t="s">
        <v>273</v>
      </c>
      <c r="AE36" s="17">
        <v>3429</v>
      </c>
      <c r="AG36" s="18">
        <f>iferror(lookup(if(AF36="",H36,AF36),{0,1,10,50,100,1000,10000},{0.0,1.06,0.95,0.902,0.741,0.486,0.47}),"")</f>
        <v>0</v>
      </c>
      <c r="AH36" s="18">
        <f>iferror(if(AF36="",H36,AF36)*AG36,"")</f>
        <v>0</v>
      </c>
      <c r="AI36" s="20" t="s">
        <v>299</v>
      </c>
      <c r="AJ36" s="17">
        <v>1817</v>
      </c>
      <c r="AL36" s="18">
        <f>iferror(lookup(if(AK36="",H36,AK36),{0,1,5,10,100,3000,9000,24000},{0.0,0.436,1.33,1.18,0.856,0.436,0.418,0.388}),"")</f>
        <v>0</v>
      </c>
      <c r="AM36" s="18">
        <f>iferror(if(AK36="",H36,AK36)*AL36,"")</f>
        <v>0</v>
      </c>
      <c r="AN36" s="20" t="s">
        <v>328</v>
      </c>
    </row>
    <row r="37" spans="1:50">
      <c r="A37" s="17" t="s">
        <v>150</v>
      </c>
      <c r="B37" s="17" t="s">
        <v>151</v>
      </c>
      <c r="C37" s="17" t="s">
        <v>152</v>
      </c>
      <c r="E37" s="17" t="s">
        <v>153</v>
      </c>
      <c r="F37" s="17" t="s">
        <v>154</v>
      </c>
      <c r="G37" s="17" t="s">
        <v>151</v>
      </c>
      <c r="H37" s="17">
        <f>BoardQty*1</f>
        <v>0</v>
      </c>
      <c r="I37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37" s="18">
        <f>iferror(H37*I37,"")</f>
        <v>0</v>
      </c>
      <c r="P37" s="19" t="s">
        <v>205</v>
      </c>
      <c r="R37" s="18">
        <f>iferror(lookup(if(Q37="",H37,Q37),{0,1,2000},{0.0,1.61,1.61}),"")</f>
        <v>0</v>
      </c>
      <c r="S37" s="18">
        <f>iferror(if(Q37="",H37,Q37)*R37,"")</f>
        <v>0</v>
      </c>
      <c r="T37" s="20" t="s">
        <v>230</v>
      </c>
      <c r="Z37" s="17">
        <v>1934</v>
      </c>
      <c r="AB37" s="18">
        <f>iferror(lookup(if(AA37="",H37,AA37),{0,1,10,30,100,500,1000},{0.0,7.58,5.55,5.18,4.8,4.64,4.56}),"")</f>
        <v>0</v>
      </c>
      <c r="AC37" s="18">
        <f>iferror(if(AA37="",H37,AA37)*AB37,"")</f>
        <v>0</v>
      </c>
      <c r="AD37" s="20" t="s">
        <v>274</v>
      </c>
      <c r="AE37" s="17">
        <v>527</v>
      </c>
      <c r="AG37" s="18">
        <f>iferror(lookup(if(AF37="",H37,AF37),{0,1,10,50,100,1000,10000},{0.0,2.87,2.59,2.44,2.08,1.42,1.41}),"")</f>
        <v>0</v>
      </c>
      <c r="AH37" s="18">
        <f>iferror(if(AF37="",H37,AF37)*AG37,"")</f>
        <v>0</v>
      </c>
      <c r="AI37" s="20" t="s">
        <v>300</v>
      </c>
    </row>
    <row r="38" spans="1:50">
      <c r="A38" s="17" t="s">
        <v>155</v>
      </c>
      <c r="B38" s="17" t="s">
        <v>156</v>
      </c>
      <c r="C38" s="17" t="s">
        <v>157</v>
      </c>
      <c r="D38" s="17" t="s">
        <v>160</v>
      </c>
      <c r="E38" s="17" t="s">
        <v>158</v>
      </c>
      <c r="F38" s="17" t="s">
        <v>159</v>
      </c>
      <c r="G38" s="17" t="s">
        <v>156</v>
      </c>
      <c r="H38" s="17">
        <f>BoardQty*1</f>
        <v>0</v>
      </c>
      <c r="I38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38" s="18">
        <f>iferror(H38*I38,"")</f>
        <v>0</v>
      </c>
      <c r="P38" s="19" t="s">
        <v>205</v>
      </c>
      <c r="R38" s="18">
        <f>iferror(lookup(if(Q38="",H38,Q38),{0,1,10},{0.0,3.9,3.85}),"")</f>
        <v>0</v>
      </c>
      <c r="S38" s="18">
        <f>iferror(if(Q38="",H38,Q38)*R38,"")</f>
        <v>0</v>
      </c>
      <c r="T38" s="20" t="s">
        <v>231</v>
      </c>
      <c r="U38" s="19" t="s">
        <v>205</v>
      </c>
      <c r="W38" s="18">
        <f>iferror(USD_GBP*lookup(if(V38="",H38,V38),{0,1,10,25,50},{0.0,3.86,3.11,2.93,2.87}),"")</f>
        <v>0</v>
      </c>
      <c r="X38" s="18">
        <f>iferror(if(V38="",H38,V38)*W38,"")</f>
        <v>0</v>
      </c>
      <c r="Y38" s="20" t="s">
        <v>260</v>
      </c>
      <c r="AE38" s="19" t="s">
        <v>205</v>
      </c>
      <c r="AG38" s="18">
        <f>iferror(lookup(if(AF38="",H38,AF38),{0,1,10,50,100,1000,10000},{0.0,3.93,3.54,3.34,2.9,2.8,2.79}),"")</f>
        <v>0</v>
      </c>
      <c r="AH38" s="18">
        <f>iferror(if(AF38="",H38,AF38)*AG38,"")</f>
        <v>0</v>
      </c>
      <c r="AI38" s="20" t="s">
        <v>301</v>
      </c>
      <c r="AJ38" s="19" t="s">
        <v>205</v>
      </c>
      <c r="AL38" s="18">
        <f>iferror(lookup(if(AK38="",H38,AK38),{0,1,10,2450},{0.0,4.49,4.43,4.43}),"")</f>
        <v>0</v>
      </c>
      <c r="AM38" s="18">
        <f>iferror(if(AK38="",H38,AK38)*AL38,"")</f>
        <v>0</v>
      </c>
      <c r="AN38" s="20" t="s">
        <v>329</v>
      </c>
    </row>
    <row r="39" spans="1:50">
      <c r="A39" s="17" t="s">
        <v>161</v>
      </c>
      <c r="B39" s="17" t="s">
        <v>162</v>
      </c>
      <c r="C39" s="17" t="s">
        <v>163</v>
      </c>
      <c r="E39" s="17" t="s">
        <v>164</v>
      </c>
      <c r="F39" s="17" t="s">
        <v>131</v>
      </c>
      <c r="G39" s="17" t="s">
        <v>165</v>
      </c>
      <c r="H39" s="17">
        <f>BoardQty*1</f>
        <v>0</v>
      </c>
      <c r="I39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39" s="18">
        <f>iferror(H39*I39,"")</f>
        <v>0</v>
      </c>
      <c r="P39" s="19" t="s">
        <v>205</v>
      </c>
      <c r="R39" s="18">
        <f>iferror(lookup(if(Q39="",H39,Q39),{0,1,10,25,50,100,250,500,1000,4000,8000,12000,28000},{0.0,0.26,0.239,0.228,0.2208,0.2134,0.2024,0.16928,0.13138,0.12512,0.11776,0.1104,0.10304}),"")</f>
        <v>0</v>
      </c>
      <c r="S39" s="18">
        <f>iferror(if(Q39="",H39,Q39)*R39,"")</f>
        <v>0</v>
      </c>
      <c r="T39" s="20" t="s">
        <v>232</v>
      </c>
      <c r="U39" s="17">
        <v>35</v>
      </c>
      <c r="W39" s="18">
        <f>iferror(USD_GBP*lookup(if(V39="",H39,V39),{0,1,5,10,100,150,500},{0.0,0.531,0.531,0.424,0.258,0.258,0.144}),"")</f>
        <v>0</v>
      </c>
      <c r="X39" s="18">
        <f>iferror(if(V39="",H39,V39)*W39,"")</f>
        <v>0</v>
      </c>
      <c r="Y39" s="20" t="s">
        <v>261</v>
      </c>
      <c r="AE39" s="19" t="s">
        <v>205</v>
      </c>
      <c r="AG39" s="18">
        <f>iferror(lookup(if(AF39="",H39,AF39),{0,1,10,50,100,1000,10000},{0.0,0.45,0.367,0.367,0.25,0.141,0.117}),"")</f>
        <v>0</v>
      </c>
      <c r="AH39" s="18">
        <f>iferror(if(AF39="",H39,AF39)*AG39,"")</f>
        <v>0</v>
      </c>
      <c r="AI39" s="20" t="s">
        <v>302</v>
      </c>
      <c r="AJ39" s="17">
        <v>33</v>
      </c>
      <c r="AL39" s="18">
        <f>iferror(lookup(if(AK39="",H39,AK39),{0,1,10,100,3000,4000,6000,12000,18000,30000},{0.0,0.272,0.258,0.232,0.131,0.131,0.117,0.106,0.098,0.091}),"")</f>
        <v>0</v>
      </c>
      <c r="AM39" s="18">
        <f>iferror(if(AK39="",H39,AK39)*AL39,"")</f>
        <v>0</v>
      </c>
      <c r="AN39" s="20" t="s">
        <v>330</v>
      </c>
      <c r="AO39" s="17">
        <v>2400</v>
      </c>
      <c r="AQ39" s="18">
        <f>iferror(USD_GBP*lookup(if(AP39="",H39,AP39),{0,1,50,100,1000,4000,8000,24000,48000,100000},{0.0,0.288,0.288,0.222,0.214,0.2,0.18,0.081,0.074,0.072}),"")</f>
        <v>0</v>
      </c>
      <c r="AR39" s="18">
        <f>iferror(if(AP39="",H39,AP39)*AQ39,"")</f>
        <v>0</v>
      </c>
      <c r="AS39" s="20" t="s">
        <v>345</v>
      </c>
      <c r="AT39" s="19" t="s">
        <v>205</v>
      </c>
      <c r="AV39" s="18">
        <f>iferror(USD_GBP*lookup(if(AU39="",H39,AU39),{0,1,5,25,100,500,2000},{0.0,0.174,0.174,0.1528,0.1321,0.11551,0.10781}),"")</f>
        <v>0</v>
      </c>
      <c r="AW39" s="18">
        <f>iferror(if(AU39="",H39,AU39)*AV39,"")</f>
        <v>0</v>
      </c>
      <c r="AX39" s="20" t="s">
        <v>165</v>
      </c>
    </row>
    <row r="40" spans="1:50">
      <c r="A40" s="17" t="s">
        <v>166</v>
      </c>
      <c r="B40" s="17" t="s">
        <v>167</v>
      </c>
      <c r="C40" s="17" t="s">
        <v>168</v>
      </c>
      <c r="E40" s="17" t="s">
        <v>169</v>
      </c>
      <c r="F40" s="17" t="s">
        <v>170</v>
      </c>
      <c r="G40" s="17" t="s">
        <v>167</v>
      </c>
      <c r="H40" s="17">
        <f>BoardQty*1</f>
        <v>0</v>
      </c>
      <c r="I40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40" s="18">
        <f>iferror(H40*I40,"")</f>
        <v>0</v>
      </c>
      <c r="P40" s="17">
        <v>99264</v>
      </c>
      <c r="R40" s="18">
        <f>iferror(lookup(if(Q40="",H40,Q40),{0,1,25,100,3000},{0.0,0.66,0.56,0.54,0.54}),"")</f>
        <v>0</v>
      </c>
      <c r="S40" s="18">
        <f>iferror(if(Q40="",H40,Q40)*R40,"")</f>
        <v>0</v>
      </c>
      <c r="T40" s="20" t="s">
        <v>233</v>
      </c>
      <c r="U40" s="17">
        <v>2560</v>
      </c>
      <c r="W40" s="18">
        <f>iferror(USD_GBP*lookup(if(V40="",H40,V40),{0,1,25,100,150},{0.0,0.806,0.623,0.535,0.535}),"")</f>
        <v>0</v>
      </c>
      <c r="X40" s="18">
        <f>iferror(if(V40="",H40,V40)*W40,"")</f>
        <v>0</v>
      </c>
      <c r="Y40" s="20" t="s">
        <v>262</v>
      </c>
      <c r="AE40" s="17">
        <v>17666</v>
      </c>
      <c r="AG40" s="18">
        <f>iferror(lookup(if(AF40="",H40,AF40),{0,1,10,50,100,1000,10000},{0.0,0.66,0.66,0.56,0.522,0.522,0.522}),"")</f>
        <v>0</v>
      </c>
      <c r="AH40" s="18">
        <f>iferror(if(AF40="",H40,AF40)*AG40,"")</f>
        <v>0</v>
      </c>
      <c r="AI40" s="20" t="s">
        <v>303</v>
      </c>
      <c r="AJ40" s="17">
        <v>2360</v>
      </c>
      <c r="AL40" s="18">
        <f>iferror(lookup(if(AK40="",H40,AK40),{0,1,10,25,3000},{0.0,0.866,0.798,0.729,0.528}),"")</f>
        <v>0</v>
      </c>
      <c r="AM40" s="18">
        <f>iferror(if(AK40="",H40,AK40)*AL40,"")</f>
        <v>0</v>
      </c>
      <c r="AN40" s="20" t="s">
        <v>331</v>
      </c>
      <c r="AO40" s="17">
        <v>1660</v>
      </c>
      <c r="AQ40" s="18">
        <f>iferror(USD_GBP*lookup(if(AP40="",H40,AP40),{0,1,20,40,100,3000},{0.0,0.481,0.481,0.46,0.415,0.384}),"")</f>
        <v>0</v>
      </c>
      <c r="AR40" s="18">
        <f>iferror(if(AP40="",H40,AP40)*AQ40,"")</f>
        <v>0</v>
      </c>
      <c r="AS40" s="20" t="s">
        <v>346</v>
      </c>
      <c r="AT40" s="19" t="s">
        <v>205</v>
      </c>
      <c r="AV40" s="18">
        <f>iferror(USD_GBP*lookup(if(AU40="",H40,AU40),{0,1,10,25,100},{0.0,0.62,0.57,0.52,0.47}),"")</f>
        <v>0</v>
      </c>
      <c r="AW40" s="18">
        <f>iferror(if(AU40="",H40,AU40)*AV40,"")</f>
        <v>0</v>
      </c>
      <c r="AX40" s="20" t="s">
        <v>350</v>
      </c>
    </row>
    <row r="41" spans="1:50">
      <c r="A41" s="17" t="s">
        <v>171</v>
      </c>
      <c r="B41" s="17" t="s">
        <v>172</v>
      </c>
      <c r="C41" s="17" t="s">
        <v>173</v>
      </c>
      <c r="D41" s="17" t="s">
        <v>176</v>
      </c>
      <c r="E41" s="17" t="s">
        <v>174</v>
      </c>
      <c r="F41" s="17" t="s">
        <v>175</v>
      </c>
      <c r="G41" s="17" t="s">
        <v>172</v>
      </c>
      <c r="H41" s="17">
        <f>BoardQty*1</f>
        <v>0</v>
      </c>
      <c r="I41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41" s="18">
        <f>iferror(H41*I41,"")</f>
        <v>0</v>
      </c>
    </row>
    <row r="42" spans="1:50">
      <c r="A42" s="17" t="s">
        <v>177</v>
      </c>
      <c r="B42" s="17" t="s">
        <v>178</v>
      </c>
      <c r="C42" s="17" t="s">
        <v>179</v>
      </c>
      <c r="D42" s="17" t="s">
        <v>182</v>
      </c>
      <c r="E42" s="17" t="s">
        <v>180</v>
      </c>
      <c r="F42" s="17" t="s">
        <v>181</v>
      </c>
      <c r="G42" s="17" t="s">
        <v>178</v>
      </c>
      <c r="H42" s="17">
        <f>BoardQty*1</f>
        <v>0</v>
      </c>
      <c r="I42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42" s="18">
        <f>iferror(H42*I42,"")</f>
        <v>0</v>
      </c>
      <c r="P42" s="17">
        <v>3744</v>
      </c>
      <c r="R42" s="18">
        <f>iferror(lookup(if(Q42="",H42,Q42),{0,1,10,50,100,500,1000,3000},{0.0,1.62,1.548,1.512,1.296,1.26,1.062,1.008}),"")</f>
        <v>0</v>
      </c>
      <c r="S42" s="18">
        <f>iferror(if(Q42="",H42,Q42)*R42,"")</f>
        <v>0</v>
      </c>
      <c r="T42" s="20" t="s">
        <v>234</v>
      </c>
      <c r="U42" s="17">
        <v>2830</v>
      </c>
      <c r="W42" s="18">
        <f>iferror(USD_GBP*lookup(if(V42="",H42,V42),{0,1,5,10,50,250,500,1500},{0.0,1.28,1.28,1.28,1.07,0.968,0.945,0.922}),"")</f>
        <v>0</v>
      </c>
      <c r="X42" s="18">
        <f>iferror(if(V42="",H42,V42)*W42,"")</f>
        <v>0</v>
      </c>
      <c r="Y42" s="20" t="s">
        <v>263</v>
      </c>
      <c r="AE42" s="17">
        <v>8080</v>
      </c>
      <c r="AG42" s="18">
        <f>iferror(lookup(if(AF42="",H42,AF42),{0,1,10,50,100,1000,10000},{0.0,1.8,1.72,1.68,1.44,1.15,1.08}),"")</f>
        <v>0</v>
      </c>
      <c r="AH42" s="18">
        <f>iferror(if(AF42="",H42,AF42)*AG42,"")</f>
        <v>0</v>
      </c>
      <c r="AI42" s="20" t="s">
        <v>304</v>
      </c>
      <c r="AJ42" s="17">
        <v>2940</v>
      </c>
      <c r="AL42" s="18">
        <f>iferror(lookup(if(AK42="",H42,AK42),{0,1,5,10,25,50,100,1000,2000,3000,4000,6000,10000},{0.0,2.48,2.48,2.36,2.34,2.31,1.98,1.34,1.28,1.28,1.17,1.12,1.09}),"")</f>
        <v>0</v>
      </c>
      <c r="AM42" s="18">
        <f>iferror(if(AK42="",H42,AK42)*AL42,"")</f>
        <v>0</v>
      </c>
      <c r="AN42" s="20" t="s">
        <v>332</v>
      </c>
    </row>
    <row r="44" spans="1:50">
      <c r="B44" s="21" t="s">
        <v>185</v>
      </c>
      <c r="I44" s="1" t="s">
        <v>183</v>
      </c>
      <c r="J44" s="5">
        <f>SUM(INDIRECT(ADDRESS(ROW(),COLUMN(arrow_part_data)+3)),INDIRECT(ADDRESS(ROW(),COLUMN(digikey_part_data)+3)),INDIRECT(ADDRESS(ROW(),COLUMN(farnell_part_data)+3)),INDIRECT(ADDRESS(ROW(),COLUMN(mouser_part_data)+3)),INDIRECT(ADDRESS(ROW(),COLUMN(newark_part_data)+3)),INDIRECT(ADDRESS(ROW(),COLUMN(rs_part_data)+3)),INDIRECT(ADDRESS(ROW(),COLUMN(tme_part_data)+3)),INDIRECT(ADDRESS(ROW(),COLUMN(lcsc_part_data)+3)))</f>
        <v>0</v>
      </c>
      <c r="K44" s="20" t="s">
        <v>202</v>
      </c>
      <c r="L44" s="6">
        <f>IFERROR(IF(OR(L7:L42),COUNTIFS(L7:L42,"&gt;0",N7:N42,"&lt;&gt;")&amp;" of "&amp;(ROWS(N7:N42)-COUNTBLANK(N7:N42))&amp;" parts purchased",""),"")</f>
        <v>0</v>
      </c>
      <c r="N44" s="5">
        <f>SUMIF(L7:L42,"&gt;0",N7:N42)</f>
        <v>0</v>
      </c>
      <c r="P44" s="20" t="s">
        <v>202</v>
      </c>
      <c r="Q44" s="6">
        <f>IFERROR(IF(OR(Q7:Q42),COUNTIFS(Q7:Q42,"&gt;0",S7:S42,"&lt;&gt;")&amp;" of "&amp;(ROWS(S7:S42)-COUNTBLANK(S7:S42))&amp;" parts purchased",""),"")</f>
        <v>0</v>
      </c>
      <c r="S44" s="5">
        <f>SUMIF(Q7:Q42,"&gt;0",S7:S42)</f>
        <v>0</v>
      </c>
      <c r="U44" s="20" t="s">
        <v>202</v>
      </c>
      <c r="V44" s="6">
        <f>IFERROR(IF(OR(V7:V42),COUNTIFS(V7:V42,"&gt;0",X7:X42,"&lt;&gt;")&amp;" of "&amp;(ROWS(X7:X42)-COUNTBLANK(X7:X42))&amp;" parts purchased",""),"")</f>
        <v>0</v>
      </c>
      <c r="X44" s="5">
        <f>SUMIF(V7:V42,"&gt;0",X7:X42)</f>
        <v>0</v>
      </c>
      <c r="Z44" s="20" t="s">
        <v>202</v>
      </c>
      <c r="AA44" s="6">
        <f>IFERROR(IF(OR(AA7:AA42),COUNTIFS(AA7:AA42,"&gt;0",AC7:AC42,"&lt;&gt;")&amp;" of "&amp;(ROWS(AC7:AC42)-COUNTBLANK(AC7:AC42))&amp;" parts purchased",""),"")</f>
        <v>0</v>
      </c>
      <c r="AC44" s="5">
        <f>SUMIF(AA7:AA42,"&gt;0",AC7:AC42)</f>
        <v>0</v>
      </c>
      <c r="AE44" s="20" t="s">
        <v>202</v>
      </c>
      <c r="AF44" s="6">
        <f>IFERROR(IF(OR(AF7:AF42),COUNTIFS(AF7:AF42,"&gt;0",AH7:AH42,"&lt;&gt;")&amp;" of "&amp;(ROWS(AH7:AH42)-COUNTBLANK(AH7:AH42))&amp;" parts purchased",""),"")</f>
        <v>0</v>
      </c>
      <c r="AH44" s="5">
        <f>SUMIF(AF7:AF42,"&gt;0",AH7:AH42)</f>
        <v>0</v>
      </c>
      <c r="AJ44" s="20" t="s">
        <v>202</v>
      </c>
      <c r="AK44" s="6">
        <f>IFERROR(IF(OR(AK7:AK42),COUNTIFS(AK7:AK42,"&gt;0",AM7:AM42,"&lt;&gt;")&amp;" of "&amp;(ROWS(AM7:AM42)-COUNTBLANK(AM7:AM42))&amp;" parts purchased",""),"")</f>
        <v>0</v>
      </c>
      <c r="AM44" s="5">
        <f>SUMIF(AK7:AK42,"&gt;0",AM7:AM42)</f>
        <v>0</v>
      </c>
      <c r="AO44" s="20" t="s">
        <v>202</v>
      </c>
      <c r="AP44" s="6">
        <f>IFERROR(IF(OR(AP7:AP42),COUNTIFS(AP7:AP42,"&gt;0",AR7:AR42,"&lt;&gt;")&amp;" of "&amp;(ROWS(AR7:AR42)-COUNTBLANK(AR7:AR42))&amp;" parts purchased",""),"")</f>
        <v>0</v>
      </c>
      <c r="AR44" s="5">
        <f>SUMIF(AP7:AP42,"&gt;0",AR7:AR42)</f>
        <v>0</v>
      </c>
      <c r="AT44" s="20" t="s">
        <v>202</v>
      </c>
      <c r="AU44" s="6">
        <f>IFERROR(IF(OR(AU7:AU42),COUNTIFS(AU7:AU42,"&gt;0",AW7:AW42,"&lt;&gt;")&amp;" of "&amp;(ROWS(AW7:AW42)-COUNTBLANK(AW7:AW42))&amp;" parts purchased",""),"")</f>
        <v>0</v>
      </c>
      <c r="AW44" s="5">
        <f>SUMIF(AU7:AU42,"&gt;0",AW7:AW42)</f>
        <v>0</v>
      </c>
    </row>
    <row r="45" spans="1:50">
      <c r="B45" s="21" t="s">
        <v>186</v>
      </c>
      <c r="C45">
        <v>1.293904700565222</v>
      </c>
      <c r="I45" s="21" t="s">
        <v>184</v>
      </c>
      <c r="L45">
        <f t="array" ref="L45">IFERROR(CONCATENATE(INDEX(O7:O42,SMALL(IF(ISNUMBER(L7:L42),IF(L7:L42&gt;0,IF(O7:O42&lt;&gt;"",ROW(L7:L42)-MIN(ROW(L7:L42))+1))),ROW()-ROW(A$45)+1)),",",TEXT(INDEX(L7:L42,SMALL(IF(ISNUMBER(L7:L42),IF(L7:L42&gt;0,IF(O7:O42&lt;&gt;"",ROW(L7:L42)-MIN(ROW(L7:L42))+1))),ROW()-ROW(A$45)+1)),"##0"),",",SUBSTITUTE(INDEX(IF(PURCHASE_DESCRIPTION&lt;&gt;"",PURCHASE_DESCRIPTION&amp;":","")&amp;A7:A42,SMALL(IF(ISNUMBER(L7:L42),IF(L7:L42&gt;0,IF(O7:O42&lt;&gt;"",ROW(L7:L42)-MIN(ROW(L7:L42))+1))),ROW()-ROW(A$45)+1)),",",";")),"")</f>
        <v>0</v>
      </c>
      <c r="Q45">
        <f t="array" ref="Q45">IFERROR(CONCATENATE(TEXT(INDEX(Q7:Q42,SMALL(IF(ISNUMBER(Q7:Q42),IF(Q7:Q42&gt;0,IF(T7:T42&lt;&gt;"",ROW(Q7:Q42)-MIN(ROW(Q7:Q42))+1))),ROW()-ROW(A$45)+1)),"##0"),",",INDEX(T7:T42,SMALL(IF(ISNUMBER(Q7:Q42),IF(Q7:Q42&gt;0,IF(T7:T42&lt;&gt;"",ROW(Q7:Q42)-MIN(ROW(Q7:Q42))+1))),ROW()-ROW(A$45)+1)),",",SUBSTITUTE(INDEX(IF(PURCHASE_DESCRIPTION&lt;&gt;"",PURCHASE_DESCRIPTION&amp;":","")&amp;A7:A42,SMALL(IF(ISNUMBER(Q7:Q42),IF(Q7:Q42&gt;0,IF(T7:T42&lt;&gt;"",ROW(Q7:Q42)-MIN(ROW(Q7:Q42))+1))),ROW()-ROW(A$45)+1)),",",";")),"")</f>
        <v>0</v>
      </c>
      <c r="V45">
        <f t="array" ref="V45">IFERROR(CONCATENATE(INDEX(Y7:Y42,SMALL(IF(ISNUMBER(V7:V42),IF(V7:V42&gt;0,IF(Y7:Y42&lt;&gt;"",ROW(V7:V42)-MIN(ROW(V7:V42))+1))),ROW()-ROW(A$45)+1)),",",TEXT(INDEX(V7:V42,SMALL(IF(ISNUMBER(V7:V42),IF(V7:V42&gt;0,IF(Y7:Y42&lt;&gt;"",ROW(V7:V42)-MIN(ROW(V7:V42))+1))),ROW()-ROW(A$45)+1)),"##0"),",",SUBSTITUTE(SUBSTITUTE(INDEX(IF(PURCHASE_DESCRIPTION&lt;&gt;"",PURCHASE_DESCRIPTION&amp;":","")&amp;A7:A42,SMALL(IF(ISNUMBER(V7:V42),IF(V7:V42&gt;0,IF(Y7:Y42&lt;&gt;"",ROW(V7:V42)-MIN(ROW(V7:V42))+1))),ROW()-ROW(A$45)+1)),",",";"),"
",";"),",",SUBSTITUTE(SUBSTITUTE(INDEX(IF(PURCHASE_DESCRIPTION&lt;&gt;"",PURCHASE_DESCRIPTION&amp;":","")&amp;C7:C42,SMALL(IF(ISNUMBER(V7:V42),IF(V7:V42&gt;0,IF(Y7:Y42&lt;&gt;"",ROW(V7:V42)-MIN(ROW(V7:V42))+1))),ROW()-ROW(A$45)+1)),",",";"),"
",";"),",",SUBSTITUTE(SUBSTITUTE(INDEX(IF(PURCHASE_DESCRIPTION&lt;&gt;"",PURCHASE_DESCRIPTION&amp;":","")&amp;F7:F42,SMALL(IF(ISNUMBER(V7:V42),IF(V7:V42&gt;0,IF(Y7:Y42&lt;&gt;"",ROW(V7:V42)-MIN(ROW(V7:V42))+1))),ROW()-ROW(A$45)+1)),",",";"),"
",";"),",",SUBSTITUTE(SUBSTITUTE(INDEX(IF(PURCHASE_DESCRIPTION&lt;&gt;"",PURCHASE_DESCRIPTION&amp;":","")&amp;D7:D42,SMALL(IF(ISNUMBER(V7:V42),IF(V7:V42&gt;0,IF(Y7:Y42&lt;&gt;"",ROW(V7:V42)-MIN(ROW(V7:V42))+1))),ROW()-ROW(A$45)+1)),",",";"),"
",";")),"")</f>
        <v>0</v>
      </c>
      <c r="AA45" s="6">
        <f>IFERROR(IF(COUNTIFS(AA7:AA42,"&gt;0",AC7:AC42,"&lt;&gt;")&gt;0,"Quantity,Comment,Designator,Footprint,LCSC Part #(optional)",""),"")</f>
        <v>0</v>
      </c>
      <c r="AF45">
        <f t="array" ref="AF45">IFERROR(CONCATENATE(INDEX(AI7:AI42,SMALL(IF(ISNUMBER(AF7:AF42),IF(AF7:AF42&gt;0,IF(AI7:AI42&lt;&gt;"",ROW(AF7:AF42)-MIN(ROW(AF7:AF42))+1))),ROW()-ROW(A$45)+1)),"|",TEXT(INDEX(AF7:AF42,SMALL(IF(ISNUMBER(AF7:AF42),IF(AF7:AF42&gt;0,IF(AI7:AI42&lt;&gt;"",ROW(AF7:AF42)-MIN(ROW(AF7:AF42))+1))),ROW()-ROW(A$45)+1)),"##0"),"|",SUBSTITUTE(SUBSTITUTE(INDEX(IF(PURCHASE_DESCRIPTION&lt;&gt;"",PURCHASE_DESCRIPTION&amp;":","")&amp;A7:A42,SMALL(IF(ISNUMBER(AF7:AF42),IF(AF7:AF42&gt;0,IF(AI7:AI42&lt;&gt;"",ROW(AF7:AF42)-MIN(ROW(AF7:AF42))+1))),ROW()-ROW(A$45)+1)),"|",";")," ","_")),"")</f>
        <v>0</v>
      </c>
      <c r="AK45">
        <f t="array" ref="AK45">IFERROR(CONCATENATE(INDEX(AN7:AN42,SMALL(IF(ISNUMBER(AK7:AK42),IF(AK7:AK42&gt;0,IF(AN7:AN42&lt;&gt;"",ROW(AK7:AK42)-MIN(ROW(AK7:AK42))+1))),ROW()-ROW(A$45)+1)),",",TEXT(INDEX(AK7:AK42,SMALL(IF(ISNUMBER(AK7:AK42),IF(AK7:AK42&gt;0,IF(AN7:AN42&lt;&gt;"",ROW(AK7:AK42)-MIN(ROW(AK7:AK42))+1))),ROW()-ROW(A$45)+1)),"##0"),",",SUBSTITUTE(SUBSTITUTE(INDEX(IF(PURCHASE_DESCRIPTION&lt;&gt;"",PURCHASE_DESCRIPTION&amp;":","")&amp;A7:A42,SMALL(IF(ISNUMBER(AK7:AK42),IF(AK7:AK42&gt;0,IF(AN7:AN42&lt;&gt;"",ROW(AK7:AK42)-MIN(ROW(AK7:AK42))+1))),ROW()-ROW(A$45)+1)),",",";"),"
",";"),",",SUBSTITUTE(SUBSTITUTE(INDEX(IF(PURCHASE_DESCRIPTION&lt;&gt;"",PURCHASE_DESCRIPTION&amp;":","")&amp;C7:C42,SMALL(IF(ISNUMBER(AK7:AK42),IF(AK7:AK42&gt;0,IF(AN7:AN42&lt;&gt;"",ROW(AK7:AK42)-MIN(ROW(AK7:AK42))+1))),ROW()-ROW(A$45)+1)),",",";"),"
",";"),",",SUBSTITUTE(SUBSTITUTE(INDEX(IF(PURCHASE_DESCRIPTION&lt;&gt;"",PURCHASE_DESCRIPTION&amp;":","")&amp;F7:F42,SMALL(IF(ISNUMBER(AK7:AK42),IF(AK7:AK42&gt;0,IF(AN7:AN42&lt;&gt;"",ROW(AK7:AK42)-MIN(ROW(AK7:AK42))+1))),ROW()-ROW(A$45)+1)),",",";"),"
",";"),",",SUBSTITUTE(SUBSTITUTE(INDEX(IF(PURCHASE_DESCRIPTION&lt;&gt;"",PURCHASE_DESCRIPTION&amp;":","")&amp;D7:D42,SMALL(IF(ISNUMBER(AK7:AK42),IF(AK7:AK42&gt;0,IF(AN7:AN42&lt;&gt;"",ROW(AK7:AK42)-MIN(ROW(AK7:AK42))+1))),ROW()-ROW(A$45)+1)),",",";"),"
",";")),"")</f>
        <v>0</v>
      </c>
      <c r="AP45">
        <f t="array" ref="AP45">IFERROR(CONCATENATE(INDEX(AS7:AS42,SMALL(IF(ISNUMBER(AP7:AP42),IF(AP7:AP42&gt;0,IF(AS7:AS42&lt;&gt;"",ROW(AP7:AP42)-MIN(ROW(AP7:AP42))+1))),ROW()-ROW(A$45)+1)),",",TEXT(INDEX(AP7:AP42,SMALL(IF(ISNUMBER(AP7:AP42),IF(AP7:AP42&gt;0,IF(AS7:AS42&lt;&gt;"",ROW(AP7:AP42)-MIN(ROW(AP7:AP42))+1))),ROW()-ROW(A$45)+1)),"##0"),",",,",",,",",,",",INDEX(G7:G42,SMALL(IF(ISNUMBER(AP7:AP42),IF(AP7:AP42&gt;0,IF(AS7:AS42&lt;&gt;"",ROW(AP7:AP42)-MIN(ROW(AP7:AP42))+1))),ROW()-ROW(A$45)+1)),",",SUBSTITUTE(INDEX(IF(PURCHASE_DESCRIPTION&lt;&gt;"",PURCHASE_DESCRIPTION&amp;":","")&amp;A7:A42,SMALL(IF(ISNUMBER(AP7:AP42),IF(AP7:AP42&gt;0,IF(AS7:AS42&lt;&gt;"",ROW(AP7:AP42)-MIN(ROW(AP7:AP42))+1))),ROW()-ROW(A$45)+1)),",",";")),"")</f>
        <v>0</v>
      </c>
      <c r="AU45">
        <f t="array" ref="AU45">IFERROR(CONCATENATE(INDEX(AX7:AX42,SMALL(IF(ISNUMBER(AU7:AU42),IF(AU7:AU42&gt;0,IF(AX7:AX42&lt;&gt;"",ROW(AU7:AU42)-MIN(ROW(AU7:AU42))+1))),ROW()-ROW(A$45)+1))," ",TEXT(INDEX(AU7:AU42,SMALL(IF(ISNUMBER(AU7:AU42),IF(AU7:AU42&gt;0,IF(AX7:AX42&lt;&gt;"",ROW(AU7:AU42)-MIN(ROW(AU7:AU42))+1))),ROW()-ROW(A$45)+1)),"##0")," ",SUBSTITUTE(INDEX(IF(PURCHASE_DESCRIPTION&lt;&gt;"",PURCHASE_DESCRIPTION&amp;":","")&amp;A7:A42,SMALL(IF(ISNUMBER(AU7:AU42),IF(AU7:AU42&gt;0,IF(AX7:AX42&lt;&gt;"",ROW(AU7:AU42)-MIN(ROW(AU7:AU42))+1))),ROW()-ROW(A$45)+1))," ",";")),"")</f>
        <v>0</v>
      </c>
    </row>
    <row r="46" spans="1:50">
      <c r="L46">
        <f t="array" ref="L46">IFERROR(CONCATENATE(INDEX(O7:O42,SMALL(IF(ISNUMBER(L7:L42),IF(L7:L42&gt;0,IF(O7:O42&lt;&gt;"",ROW(L7:L42)-MIN(ROW(L7:L42))+1))),ROW()-ROW(A$45)+1)),",",TEXT(INDEX(L7:L42,SMALL(IF(ISNUMBER(L7:L42),IF(L7:L42&gt;0,IF(O7:O42&lt;&gt;"",ROW(L7:L42)-MIN(ROW(L7:L42))+1))),ROW()-ROW(A$45)+1)),"##0"),",",SUBSTITUTE(INDEX(IF(PURCHASE_DESCRIPTION&lt;&gt;"",PURCHASE_DESCRIPTION&amp;":","")&amp;A7:A42,SMALL(IF(ISNUMBER(L7:L42),IF(L7:L42&gt;0,IF(O7:O42&lt;&gt;"",ROW(L7:L42)-MIN(ROW(L7:L42))+1))),ROW()-ROW(A$45)+1)),",",";")),"")</f>
        <v>0</v>
      </c>
      <c r="Q46">
        <f t="array" ref="Q46">IFERROR(CONCATENATE(TEXT(INDEX(Q7:Q42,SMALL(IF(ISNUMBER(Q7:Q42),IF(Q7:Q42&gt;0,IF(T7:T42&lt;&gt;"",ROW(Q7:Q42)-MIN(ROW(Q7:Q42))+1))),ROW()-ROW(A$45)+1)),"##0"),",",INDEX(T7:T42,SMALL(IF(ISNUMBER(Q7:Q42),IF(Q7:Q42&gt;0,IF(T7:T42&lt;&gt;"",ROW(Q7:Q42)-MIN(ROW(Q7:Q42))+1))),ROW()-ROW(A$45)+1)),",",SUBSTITUTE(INDEX(IF(PURCHASE_DESCRIPTION&lt;&gt;"",PURCHASE_DESCRIPTION&amp;":","")&amp;A7:A42,SMALL(IF(ISNUMBER(Q7:Q42),IF(Q7:Q42&gt;0,IF(T7:T42&lt;&gt;"",ROW(Q7:Q42)-MIN(ROW(Q7:Q42))+1))),ROW()-ROW(A$45)+1)),",",";")),"")</f>
        <v>0</v>
      </c>
      <c r="V46">
        <f t="array" ref="V46">IFERROR(CONCATENATE(INDEX(Y7:Y42,SMALL(IF(ISNUMBER(V7:V42),IF(V7:V42&gt;0,IF(Y7:Y42&lt;&gt;"",ROW(V7:V42)-MIN(ROW(V7:V42))+1))),ROW()-ROW(A$45)+1)),",",TEXT(INDEX(V7:V42,SMALL(IF(ISNUMBER(V7:V42),IF(V7:V42&gt;0,IF(Y7:Y42&lt;&gt;"",ROW(V7:V42)-MIN(ROW(V7:V42))+1))),ROW()-ROW(A$45)+1)),"##0"),",",SUBSTITUTE(SUBSTITUTE(INDEX(IF(PURCHASE_DESCRIPTION&lt;&gt;"",PURCHASE_DESCRIPTION&amp;":","")&amp;A7:A42,SMALL(IF(ISNUMBER(V7:V42),IF(V7:V42&gt;0,IF(Y7:Y42&lt;&gt;"",ROW(V7:V42)-MIN(ROW(V7:V42))+1))),ROW()-ROW(A$45)+1)),",",";"),"
",";"),",",SUBSTITUTE(SUBSTITUTE(INDEX(IF(PURCHASE_DESCRIPTION&lt;&gt;"",PURCHASE_DESCRIPTION&amp;":","")&amp;C7:C42,SMALL(IF(ISNUMBER(V7:V42),IF(V7:V42&gt;0,IF(Y7:Y42&lt;&gt;"",ROW(V7:V42)-MIN(ROW(V7:V42))+1))),ROW()-ROW(A$45)+1)),",",";"),"
",";"),",",SUBSTITUTE(SUBSTITUTE(INDEX(IF(PURCHASE_DESCRIPTION&lt;&gt;"",PURCHASE_DESCRIPTION&amp;":","")&amp;F7:F42,SMALL(IF(ISNUMBER(V7:V42),IF(V7:V42&gt;0,IF(Y7:Y42&lt;&gt;"",ROW(V7:V42)-MIN(ROW(V7:V42))+1))),ROW()-ROW(A$45)+1)),",",";"),"
",";"),",",SUBSTITUTE(SUBSTITUTE(INDEX(IF(PURCHASE_DESCRIPTION&lt;&gt;"",PURCHASE_DESCRIPTION&amp;":","")&amp;D7:D42,SMALL(IF(ISNUMBER(V7:V42),IF(V7:V42&gt;0,IF(Y7:Y42&lt;&gt;"",ROW(V7:V42)-MIN(ROW(V7:V42))+1))),ROW()-ROW(A$45)+1)),",",";"),"
",";")),"")</f>
        <v>0</v>
      </c>
      <c r="AA46">
        <f t="array" ref="AA46">IFERROR(CONCATENATE(TEXT(INDEX(AA7:AA42,SMALL(IF(ISNUMBER(AA7:AA42),IF(AA7:AA42&gt;0,IF(AD7:AD42&lt;&gt;"",ROW(AA7:AA42)-MIN(ROW(AA7:AA42))+1))),ROW()-ROW(A$46)+1)),"##0"),",",SUBSTITUTE(INDEX(IF(PURCHASE_DESCRIPTION&lt;&gt;"",PURCHASE_DESCRIPTION&amp;":","")&amp;A7:A42,SMALL(IF(ISNUMBER(AA7:AA42),IF(AA7:AA42&gt;0,IF(AD7:AD42&lt;&gt;"",ROW(AA7:AA42)-MIN(ROW(AA7:AA42))+1))),ROW()-ROW(A$46)+1)),",",";"),",",SUBSTITUTE(INDEX(IF(PURCHASE_DESCRIPTION&lt;&gt;"",PURCHASE_DESCRIPTION&amp;":","")&amp;E7:E42,SMALL(IF(ISNUMBER(AA7:AA42),IF(AA7:AA42&gt;0,IF(AD7:AD42&lt;&gt;"",ROW(AA7:AA42)-MIN(ROW(AA7:AA42))+1))),ROW()-ROW(A$46)+1)),",",";"),",",INDEX(AD7:AD42,SMALL(IF(ISNUMBER(AA7:AA42),IF(AA7:AA42&gt;0,IF(AD7:AD42&lt;&gt;"",ROW(AA7:AA42)-MIN(ROW(AA7:AA42))+1))),ROW()-ROW(A$46)+1))),"")</f>
        <v>0</v>
      </c>
      <c r="AF46">
        <f t="array" ref="AF46">IFERROR(CONCATENATE(INDEX(AI7:AI42,SMALL(IF(ISNUMBER(AF7:AF42),IF(AF7:AF42&gt;0,IF(AI7:AI42&lt;&gt;"",ROW(AF7:AF42)-MIN(ROW(AF7:AF42))+1))),ROW()-ROW(A$45)+1)),"|",TEXT(INDEX(AF7:AF42,SMALL(IF(ISNUMBER(AF7:AF42),IF(AF7:AF42&gt;0,IF(AI7:AI42&lt;&gt;"",ROW(AF7:AF42)-MIN(ROW(AF7:AF42))+1))),ROW()-ROW(A$45)+1)),"##0"),"|",SUBSTITUTE(SUBSTITUTE(INDEX(IF(PURCHASE_DESCRIPTION&lt;&gt;"",PURCHASE_DESCRIPTION&amp;":","")&amp;A7:A42,SMALL(IF(ISNUMBER(AF7:AF42),IF(AF7:AF42&gt;0,IF(AI7:AI42&lt;&gt;"",ROW(AF7:AF42)-MIN(ROW(AF7:AF42))+1))),ROW()-ROW(A$45)+1)),"|",";")," ","_")),"")</f>
        <v>0</v>
      </c>
      <c r="AK46">
        <f t="array" ref="AK46">IFERROR(CONCATENATE(INDEX(AN7:AN42,SMALL(IF(ISNUMBER(AK7:AK42),IF(AK7:AK42&gt;0,IF(AN7:AN42&lt;&gt;"",ROW(AK7:AK42)-MIN(ROW(AK7:AK42))+1))),ROW()-ROW(A$45)+1)),",",TEXT(INDEX(AK7:AK42,SMALL(IF(ISNUMBER(AK7:AK42),IF(AK7:AK42&gt;0,IF(AN7:AN42&lt;&gt;"",ROW(AK7:AK42)-MIN(ROW(AK7:AK42))+1))),ROW()-ROW(A$45)+1)),"##0"),",",SUBSTITUTE(SUBSTITUTE(INDEX(IF(PURCHASE_DESCRIPTION&lt;&gt;"",PURCHASE_DESCRIPTION&amp;":","")&amp;A7:A42,SMALL(IF(ISNUMBER(AK7:AK42),IF(AK7:AK42&gt;0,IF(AN7:AN42&lt;&gt;"",ROW(AK7:AK42)-MIN(ROW(AK7:AK42))+1))),ROW()-ROW(A$45)+1)),",",";"),"
",";"),",",SUBSTITUTE(SUBSTITUTE(INDEX(IF(PURCHASE_DESCRIPTION&lt;&gt;"",PURCHASE_DESCRIPTION&amp;":","")&amp;C7:C42,SMALL(IF(ISNUMBER(AK7:AK42),IF(AK7:AK42&gt;0,IF(AN7:AN42&lt;&gt;"",ROW(AK7:AK42)-MIN(ROW(AK7:AK42))+1))),ROW()-ROW(A$45)+1)),",",";"),"
",";"),",",SUBSTITUTE(SUBSTITUTE(INDEX(IF(PURCHASE_DESCRIPTION&lt;&gt;"",PURCHASE_DESCRIPTION&amp;":","")&amp;F7:F42,SMALL(IF(ISNUMBER(AK7:AK42),IF(AK7:AK42&gt;0,IF(AN7:AN42&lt;&gt;"",ROW(AK7:AK42)-MIN(ROW(AK7:AK42))+1))),ROW()-ROW(A$45)+1)),",",";"),"
",";"),",",SUBSTITUTE(SUBSTITUTE(INDEX(IF(PURCHASE_DESCRIPTION&lt;&gt;"",PURCHASE_DESCRIPTION&amp;":","")&amp;D7:D42,SMALL(IF(ISNUMBER(AK7:AK42),IF(AK7:AK42&gt;0,IF(AN7:AN42&lt;&gt;"",ROW(AK7:AK42)-MIN(ROW(AK7:AK42))+1))),ROW()-ROW(A$45)+1)),",",";"),"
",";")),"")</f>
        <v>0</v>
      </c>
      <c r="AP46">
        <f t="array" ref="AP46">IFERROR(CONCATENATE(INDEX(AS7:AS42,SMALL(IF(ISNUMBER(AP7:AP42),IF(AP7:AP42&gt;0,IF(AS7:AS42&lt;&gt;"",ROW(AP7:AP42)-MIN(ROW(AP7:AP42))+1))),ROW()-ROW(A$45)+1)),",",TEXT(INDEX(AP7:AP42,SMALL(IF(ISNUMBER(AP7:AP42),IF(AP7:AP42&gt;0,IF(AS7:AS42&lt;&gt;"",ROW(AP7:AP42)-MIN(ROW(AP7:AP42))+1))),ROW()-ROW(A$45)+1)),"##0"),",",,",",,",",,",",INDEX(G7:G42,SMALL(IF(ISNUMBER(AP7:AP42),IF(AP7:AP42&gt;0,IF(AS7:AS42&lt;&gt;"",ROW(AP7:AP42)-MIN(ROW(AP7:AP42))+1))),ROW()-ROW(A$45)+1)),",",SUBSTITUTE(INDEX(IF(PURCHASE_DESCRIPTION&lt;&gt;"",PURCHASE_DESCRIPTION&amp;":","")&amp;A7:A42,SMALL(IF(ISNUMBER(AP7:AP42),IF(AP7:AP42&gt;0,IF(AS7:AS42&lt;&gt;"",ROW(AP7:AP42)-MIN(ROW(AP7:AP42))+1))),ROW()-ROW(A$45)+1)),",",";")),"")</f>
        <v>0</v>
      </c>
      <c r="AU46">
        <f t="array" ref="AU46">IFERROR(CONCATENATE(INDEX(AX7:AX42,SMALL(IF(ISNUMBER(AU7:AU42),IF(AU7:AU42&gt;0,IF(AX7:AX42&lt;&gt;"",ROW(AU7:AU42)-MIN(ROW(AU7:AU42))+1))),ROW()-ROW(A$45)+1))," ",TEXT(INDEX(AU7:AU42,SMALL(IF(ISNUMBER(AU7:AU42),IF(AU7:AU42&gt;0,IF(AX7:AX42&lt;&gt;"",ROW(AU7:AU42)-MIN(ROW(AU7:AU42))+1))),ROW()-ROW(A$45)+1)),"##0")," ",SUBSTITUTE(INDEX(IF(PURCHASE_DESCRIPTION&lt;&gt;"",PURCHASE_DESCRIPTION&amp;":","")&amp;A7:A42,SMALL(IF(ISNUMBER(AU7:AU42),IF(AU7:AU42&gt;0,IF(AX7:AX42&lt;&gt;"",ROW(AU7:AU42)-MIN(ROW(AU7:AU42))+1))),ROW()-ROW(A$45)+1))," ",";")),"")</f>
        <v>0</v>
      </c>
    </row>
    <row r="47" spans="1:50">
      <c r="A47" s="2" t="s">
        <v>351</v>
      </c>
      <c r="L47">
        <f t="array" ref="L47">IFERROR(CONCATENATE(INDEX(O7:O42,SMALL(IF(ISNUMBER(L7:L42),IF(L7:L42&gt;0,IF(O7:O42&lt;&gt;"",ROW(L7:L42)-MIN(ROW(L7:L42))+1))),ROW()-ROW(A$45)+1)),",",TEXT(INDEX(L7:L42,SMALL(IF(ISNUMBER(L7:L42),IF(L7:L42&gt;0,IF(O7:O42&lt;&gt;"",ROW(L7:L42)-MIN(ROW(L7:L42))+1))),ROW()-ROW(A$45)+1)),"##0"),",",SUBSTITUTE(INDEX(IF(PURCHASE_DESCRIPTION&lt;&gt;"",PURCHASE_DESCRIPTION&amp;":","")&amp;A7:A42,SMALL(IF(ISNUMBER(L7:L42),IF(L7:L42&gt;0,IF(O7:O42&lt;&gt;"",ROW(L7:L42)-MIN(ROW(L7:L42))+1))),ROW()-ROW(A$45)+1)),",",";")),"")</f>
        <v>0</v>
      </c>
      <c r="Q47">
        <f t="array" ref="Q47">IFERROR(CONCATENATE(TEXT(INDEX(Q7:Q42,SMALL(IF(ISNUMBER(Q7:Q42),IF(Q7:Q42&gt;0,IF(T7:T42&lt;&gt;"",ROW(Q7:Q42)-MIN(ROW(Q7:Q42))+1))),ROW()-ROW(A$45)+1)),"##0"),",",INDEX(T7:T42,SMALL(IF(ISNUMBER(Q7:Q42),IF(Q7:Q42&gt;0,IF(T7:T42&lt;&gt;"",ROW(Q7:Q42)-MIN(ROW(Q7:Q42))+1))),ROW()-ROW(A$45)+1)),",",SUBSTITUTE(INDEX(IF(PURCHASE_DESCRIPTION&lt;&gt;"",PURCHASE_DESCRIPTION&amp;":","")&amp;A7:A42,SMALL(IF(ISNUMBER(Q7:Q42),IF(Q7:Q42&gt;0,IF(T7:T42&lt;&gt;"",ROW(Q7:Q42)-MIN(ROW(Q7:Q42))+1))),ROW()-ROW(A$45)+1)),",",";")),"")</f>
        <v>0</v>
      </c>
      <c r="V47">
        <f t="array" ref="V47">IFERROR(CONCATENATE(INDEX(Y7:Y42,SMALL(IF(ISNUMBER(V7:V42),IF(V7:V42&gt;0,IF(Y7:Y42&lt;&gt;"",ROW(V7:V42)-MIN(ROW(V7:V42))+1))),ROW()-ROW(A$45)+1)),",",TEXT(INDEX(V7:V42,SMALL(IF(ISNUMBER(V7:V42),IF(V7:V42&gt;0,IF(Y7:Y42&lt;&gt;"",ROW(V7:V42)-MIN(ROW(V7:V42))+1))),ROW()-ROW(A$45)+1)),"##0"),",",SUBSTITUTE(SUBSTITUTE(INDEX(IF(PURCHASE_DESCRIPTION&lt;&gt;"",PURCHASE_DESCRIPTION&amp;":","")&amp;A7:A42,SMALL(IF(ISNUMBER(V7:V42),IF(V7:V42&gt;0,IF(Y7:Y42&lt;&gt;"",ROW(V7:V42)-MIN(ROW(V7:V42))+1))),ROW()-ROW(A$45)+1)),",",";"),"
",";"),",",SUBSTITUTE(SUBSTITUTE(INDEX(IF(PURCHASE_DESCRIPTION&lt;&gt;"",PURCHASE_DESCRIPTION&amp;":","")&amp;C7:C42,SMALL(IF(ISNUMBER(V7:V42),IF(V7:V42&gt;0,IF(Y7:Y42&lt;&gt;"",ROW(V7:V42)-MIN(ROW(V7:V42))+1))),ROW()-ROW(A$45)+1)),",",";"),"
",";"),",",SUBSTITUTE(SUBSTITUTE(INDEX(IF(PURCHASE_DESCRIPTION&lt;&gt;"",PURCHASE_DESCRIPTION&amp;":","")&amp;F7:F42,SMALL(IF(ISNUMBER(V7:V42),IF(V7:V42&gt;0,IF(Y7:Y42&lt;&gt;"",ROW(V7:V42)-MIN(ROW(V7:V42))+1))),ROW()-ROW(A$45)+1)),",",";"),"
",";"),",",SUBSTITUTE(SUBSTITUTE(INDEX(IF(PURCHASE_DESCRIPTION&lt;&gt;"",PURCHASE_DESCRIPTION&amp;":","")&amp;D7:D42,SMALL(IF(ISNUMBER(V7:V42),IF(V7:V42&gt;0,IF(Y7:Y42&lt;&gt;"",ROW(V7:V42)-MIN(ROW(V7:V42))+1))),ROW()-ROW(A$45)+1)),",",";"),"
",";")),"")</f>
        <v>0</v>
      </c>
      <c r="AA47">
        <f t="array" ref="AA47">IFERROR(CONCATENATE(TEXT(INDEX(AA7:AA42,SMALL(IF(ISNUMBER(AA7:AA42),IF(AA7:AA42&gt;0,IF(AD7:AD42&lt;&gt;"",ROW(AA7:AA42)-MIN(ROW(AA7:AA42))+1))),ROW()-ROW(A$46)+1)),"##0"),",",SUBSTITUTE(INDEX(IF(PURCHASE_DESCRIPTION&lt;&gt;"",PURCHASE_DESCRIPTION&amp;":","")&amp;A7:A42,SMALL(IF(ISNUMBER(AA7:AA42),IF(AA7:AA42&gt;0,IF(AD7:AD42&lt;&gt;"",ROW(AA7:AA42)-MIN(ROW(AA7:AA42))+1))),ROW()-ROW(A$46)+1)),",",";"),",",SUBSTITUTE(INDEX(IF(PURCHASE_DESCRIPTION&lt;&gt;"",PURCHASE_DESCRIPTION&amp;":","")&amp;E7:E42,SMALL(IF(ISNUMBER(AA7:AA42),IF(AA7:AA42&gt;0,IF(AD7:AD42&lt;&gt;"",ROW(AA7:AA42)-MIN(ROW(AA7:AA42))+1))),ROW()-ROW(A$46)+1)),",",";"),",",INDEX(AD7:AD42,SMALL(IF(ISNUMBER(AA7:AA42),IF(AA7:AA42&gt;0,IF(AD7:AD42&lt;&gt;"",ROW(AA7:AA42)-MIN(ROW(AA7:AA42))+1))),ROW()-ROW(A$46)+1))),"")</f>
        <v>0</v>
      </c>
      <c r="AF47">
        <f t="array" ref="AF47">IFERROR(CONCATENATE(INDEX(AI7:AI42,SMALL(IF(ISNUMBER(AF7:AF42),IF(AF7:AF42&gt;0,IF(AI7:AI42&lt;&gt;"",ROW(AF7:AF42)-MIN(ROW(AF7:AF42))+1))),ROW()-ROW(A$45)+1)),"|",TEXT(INDEX(AF7:AF42,SMALL(IF(ISNUMBER(AF7:AF42),IF(AF7:AF42&gt;0,IF(AI7:AI42&lt;&gt;"",ROW(AF7:AF42)-MIN(ROW(AF7:AF42))+1))),ROW()-ROW(A$45)+1)),"##0"),"|",SUBSTITUTE(SUBSTITUTE(INDEX(IF(PURCHASE_DESCRIPTION&lt;&gt;"",PURCHASE_DESCRIPTION&amp;":","")&amp;A7:A42,SMALL(IF(ISNUMBER(AF7:AF42),IF(AF7:AF42&gt;0,IF(AI7:AI42&lt;&gt;"",ROW(AF7:AF42)-MIN(ROW(AF7:AF42))+1))),ROW()-ROW(A$45)+1)),"|",";")," ","_")),"")</f>
        <v>0</v>
      </c>
      <c r="AK47">
        <f t="array" ref="AK47">IFERROR(CONCATENATE(INDEX(AN7:AN42,SMALL(IF(ISNUMBER(AK7:AK42),IF(AK7:AK42&gt;0,IF(AN7:AN42&lt;&gt;"",ROW(AK7:AK42)-MIN(ROW(AK7:AK42))+1))),ROW()-ROW(A$45)+1)),",",TEXT(INDEX(AK7:AK42,SMALL(IF(ISNUMBER(AK7:AK42),IF(AK7:AK42&gt;0,IF(AN7:AN42&lt;&gt;"",ROW(AK7:AK42)-MIN(ROW(AK7:AK42))+1))),ROW()-ROW(A$45)+1)),"##0"),",",SUBSTITUTE(SUBSTITUTE(INDEX(IF(PURCHASE_DESCRIPTION&lt;&gt;"",PURCHASE_DESCRIPTION&amp;":","")&amp;A7:A42,SMALL(IF(ISNUMBER(AK7:AK42),IF(AK7:AK42&gt;0,IF(AN7:AN42&lt;&gt;"",ROW(AK7:AK42)-MIN(ROW(AK7:AK42))+1))),ROW()-ROW(A$45)+1)),",",";"),"
",";"),",",SUBSTITUTE(SUBSTITUTE(INDEX(IF(PURCHASE_DESCRIPTION&lt;&gt;"",PURCHASE_DESCRIPTION&amp;":","")&amp;C7:C42,SMALL(IF(ISNUMBER(AK7:AK42),IF(AK7:AK42&gt;0,IF(AN7:AN42&lt;&gt;"",ROW(AK7:AK42)-MIN(ROW(AK7:AK42))+1))),ROW()-ROW(A$45)+1)),",",";"),"
",";"),",",SUBSTITUTE(SUBSTITUTE(INDEX(IF(PURCHASE_DESCRIPTION&lt;&gt;"",PURCHASE_DESCRIPTION&amp;":","")&amp;F7:F42,SMALL(IF(ISNUMBER(AK7:AK42),IF(AK7:AK42&gt;0,IF(AN7:AN42&lt;&gt;"",ROW(AK7:AK42)-MIN(ROW(AK7:AK42))+1))),ROW()-ROW(A$45)+1)),",",";"),"
",";"),",",SUBSTITUTE(SUBSTITUTE(INDEX(IF(PURCHASE_DESCRIPTION&lt;&gt;"",PURCHASE_DESCRIPTION&amp;":","")&amp;D7:D42,SMALL(IF(ISNUMBER(AK7:AK42),IF(AK7:AK42&gt;0,IF(AN7:AN42&lt;&gt;"",ROW(AK7:AK42)-MIN(ROW(AK7:AK42))+1))),ROW()-ROW(A$45)+1)),",",";"),"
",";")),"")</f>
        <v>0</v>
      </c>
      <c r="AP47">
        <f t="array" ref="AP47">IFERROR(CONCATENATE(INDEX(AS7:AS42,SMALL(IF(ISNUMBER(AP7:AP42),IF(AP7:AP42&gt;0,IF(AS7:AS42&lt;&gt;"",ROW(AP7:AP42)-MIN(ROW(AP7:AP42))+1))),ROW()-ROW(A$45)+1)),",",TEXT(INDEX(AP7:AP42,SMALL(IF(ISNUMBER(AP7:AP42),IF(AP7:AP42&gt;0,IF(AS7:AS42&lt;&gt;"",ROW(AP7:AP42)-MIN(ROW(AP7:AP42))+1))),ROW()-ROW(A$45)+1)),"##0"),",",,",",,",",,",",INDEX(G7:G42,SMALL(IF(ISNUMBER(AP7:AP42),IF(AP7:AP42&gt;0,IF(AS7:AS42&lt;&gt;"",ROW(AP7:AP42)-MIN(ROW(AP7:AP42))+1))),ROW()-ROW(A$45)+1)),",",SUBSTITUTE(INDEX(IF(PURCHASE_DESCRIPTION&lt;&gt;"",PURCHASE_DESCRIPTION&amp;":","")&amp;A7:A42,SMALL(IF(ISNUMBER(AP7:AP42),IF(AP7:AP42&gt;0,IF(AS7:AS42&lt;&gt;"",ROW(AP7:AP42)-MIN(ROW(AP7:AP42))+1))),ROW()-ROW(A$45)+1)),",",";")),"")</f>
        <v>0</v>
      </c>
      <c r="AU47">
        <f t="array" ref="AU47">IFERROR(CONCATENATE(INDEX(AX7:AX42,SMALL(IF(ISNUMBER(AU7:AU42),IF(AU7:AU42&gt;0,IF(AX7:AX42&lt;&gt;"",ROW(AU7:AU42)-MIN(ROW(AU7:AU42))+1))),ROW()-ROW(A$45)+1))," ",TEXT(INDEX(AU7:AU42,SMALL(IF(ISNUMBER(AU7:AU42),IF(AU7:AU42&gt;0,IF(AX7:AX42&lt;&gt;"",ROW(AU7:AU42)-MIN(ROW(AU7:AU42))+1))),ROW()-ROW(A$45)+1)),"##0")," ",SUBSTITUTE(INDEX(IF(PURCHASE_DESCRIPTION&lt;&gt;"",PURCHASE_DESCRIPTION&amp;":","")&amp;A7:A42,SMALL(IF(ISNUMBER(AU7:AU42),IF(AU7:AU42&gt;0,IF(AX7:AX42&lt;&gt;"",ROW(AU7:AU42)-MIN(ROW(AU7:AU42))+1))),ROW()-ROW(A$45)+1))," ",";")),"")</f>
        <v>0</v>
      </c>
    </row>
    <row r="48" spans="1:50">
      <c r="L48">
        <f t="array" ref="L48">IFERROR(CONCATENATE(INDEX(O7:O42,SMALL(IF(ISNUMBER(L7:L42),IF(L7:L42&gt;0,IF(O7:O42&lt;&gt;"",ROW(L7:L42)-MIN(ROW(L7:L42))+1))),ROW()-ROW(A$45)+1)),",",TEXT(INDEX(L7:L42,SMALL(IF(ISNUMBER(L7:L42),IF(L7:L42&gt;0,IF(O7:O42&lt;&gt;"",ROW(L7:L42)-MIN(ROW(L7:L42))+1))),ROW()-ROW(A$45)+1)),"##0"),",",SUBSTITUTE(INDEX(IF(PURCHASE_DESCRIPTION&lt;&gt;"",PURCHASE_DESCRIPTION&amp;":","")&amp;A7:A42,SMALL(IF(ISNUMBER(L7:L42),IF(L7:L42&gt;0,IF(O7:O42&lt;&gt;"",ROW(L7:L42)-MIN(ROW(L7:L42))+1))),ROW()-ROW(A$45)+1)),",",";")),"")</f>
        <v>0</v>
      </c>
      <c r="Q48">
        <f t="array" ref="Q48">IFERROR(CONCATENATE(TEXT(INDEX(Q7:Q42,SMALL(IF(ISNUMBER(Q7:Q42),IF(Q7:Q42&gt;0,IF(T7:T42&lt;&gt;"",ROW(Q7:Q42)-MIN(ROW(Q7:Q42))+1))),ROW()-ROW(A$45)+1)),"##0"),",",INDEX(T7:T42,SMALL(IF(ISNUMBER(Q7:Q42),IF(Q7:Q42&gt;0,IF(T7:T42&lt;&gt;"",ROW(Q7:Q42)-MIN(ROW(Q7:Q42))+1))),ROW()-ROW(A$45)+1)),",",SUBSTITUTE(INDEX(IF(PURCHASE_DESCRIPTION&lt;&gt;"",PURCHASE_DESCRIPTION&amp;":","")&amp;A7:A42,SMALL(IF(ISNUMBER(Q7:Q42),IF(Q7:Q42&gt;0,IF(T7:T42&lt;&gt;"",ROW(Q7:Q42)-MIN(ROW(Q7:Q42))+1))),ROW()-ROW(A$45)+1)),",",";")),"")</f>
        <v>0</v>
      </c>
      <c r="V48">
        <f t="array" ref="V48">IFERROR(CONCATENATE(INDEX(Y7:Y42,SMALL(IF(ISNUMBER(V7:V42),IF(V7:V42&gt;0,IF(Y7:Y42&lt;&gt;"",ROW(V7:V42)-MIN(ROW(V7:V42))+1))),ROW()-ROW(A$45)+1)),",",TEXT(INDEX(V7:V42,SMALL(IF(ISNUMBER(V7:V42),IF(V7:V42&gt;0,IF(Y7:Y42&lt;&gt;"",ROW(V7:V42)-MIN(ROW(V7:V42))+1))),ROW()-ROW(A$45)+1)),"##0"),",",SUBSTITUTE(SUBSTITUTE(INDEX(IF(PURCHASE_DESCRIPTION&lt;&gt;"",PURCHASE_DESCRIPTION&amp;":","")&amp;A7:A42,SMALL(IF(ISNUMBER(V7:V42),IF(V7:V42&gt;0,IF(Y7:Y42&lt;&gt;"",ROW(V7:V42)-MIN(ROW(V7:V42))+1))),ROW()-ROW(A$45)+1)),",",";"),"
",";"),",",SUBSTITUTE(SUBSTITUTE(INDEX(IF(PURCHASE_DESCRIPTION&lt;&gt;"",PURCHASE_DESCRIPTION&amp;":","")&amp;C7:C42,SMALL(IF(ISNUMBER(V7:V42),IF(V7:V42&gt;0,IF(Y7:Y42&lt;&gt;"",ROW(V7:V42)-MIN(ROW(V7:V42))+1))),ROW()-ROW(A$45)+1)),",",";"),"
",";"),",",SUBSTITUTE(SUBSTITUTE(INDEX(IF(PURCHASE_DESCRIPTION&lt;&gt;"",PURCHASE_DESCRIPTION&amp;":","")&amp;F7:F42,SMALL(IF(ISNUMBER(V7:V42),IF(V7:V42&gt;0,IF(Y7:Y42&lt;&gt;"",ROW(V7:V42)-MIN(ROW(V7:V42))+1))),ROW()-ROW(A$45)+1)),",",";"),"
",";"),",",SUBSTITUTE(SUBSTITUTE(INDEX(IF(PURCHASE_DESCRIPTION&lt;&gt;"",PURCHASE_DESCRIPTION&amp;":","")&amp;D7:D42,SMALL(IF(ISNUMBER(V7:V42),IF(V7:V42&gt;0,IF(Y7:Y42&lt;&gt;"",ROW(V7:V42)-MIN(ROW(V7:V42))+1))),ROW()-ROW(A$45)+1)),",",";"),"
",";")),"")</f>
        <v>0</v>
      </c>
      <c r="AA48">
        <f t="array" ref="AA48">IFERROR(CONCATENATE(TEXT(INDEX(AA7:AA42,SMALL(IF(ISNUMBER(AA7:AA42),IF(AA7:AA42&gt;0,IF(AD7:AD42&lt;&gt;"",ROW(AA7:AA42)-MIN(ROW(AA7:AA42))+1))),ROW()-ROW(A$46)+1)),"##0"),",",SUBSTITUTE(INDEX(IF(PURCHASE_DESCRIPTION&lt;&gt;"",PURCHASE_DESCRIPTION&amp;":","")&amp;A7:A42,SMALL(IF(ISNUMBER(AA7:AA42),IF(AA7:AA42&gt;0,IF(AD7:AD42&lt;&gt;"",ROW(AA7:AA42)-MIN(ROW(AA7:AA42))+1))),ROW()-ROW(A$46)+1)),",",";"),",",SUBSTITUTE(INDEX(IF(PURCHASE_DESCRIPTION&lt;&gt;"",PURCHASE_DESCRIPTION&amp;":","")&amp;E7:E42,SMALL(IF(ISNUMBER(AA7:AA42),IF(AA7:AA42&gt;0,IF(AD7:AD42&lt;&gt;"",ROW(AA7:AA42)-MIN(ROW(AA7:AA42))+1))),ROW()-ROW(A$46)+1)),",",";"),",",INDEX(AD7:AD42,SMALL(IF(ISNUMBER(AA7:AA42),IF(AA7:AA42&gt;0,IF(AD7:AD42&lt;&gt;"",ROW(AA7:AA42)-MIN(ROW(AA7:AA42))+1))),ROW()-ROW(A$46)+1))),"")</f>
        <v>0</v>
      </c>
      <c r="AF48">
        <f t="array" ref="AF48">IFERROR(CONCATENATE(INDEX(AI7:AI42,SMALL(IF(ISNUMBER(AF7:AF42),IF(AF7:AF42&gt;0,IF(AI7:AI42&lt;&gt;"",ROW(AF7:AF42)-MIN(ROW(AF7:AF42))+1))),ROW()-ROW(A$45)+1)),"|",TEXT(INDEX(AF7:AF42,SMALL(IF(ISNUMBER(AF7:AF42),IF(AF7:AF42&gt;0,IF(AI7:AI42&lt;&gt;"",ROW(AF7:AF42)-MIN(ROW(AF7:AF42))+1))),ROW()-ROW(A$45)+1)),"##0"),"|",SUBSTITUTE(SUBSTITUTE(INDEX(IF(PURCHASE_DESCRIPTION&lt;&gt;"",PURCHASE_DESCRIPTION&amp;":","")&amp;A7:A42,SMALL(IF(ISNUMBER(AF7:AF42),IF(AF7:AF42&gt;0,IF(AI7:AI42&lt;&gt;"",ROW(AF7:AF42)-MIN(ROW(AF7:AF42))+1))),ROW()-ROW(A$45)+1)),"|",";")," ","_")),"")</f>
        <v>0</v>
      </c>
      <c r="AK48">
        <f t="array" ref="AK48">IFERROR(CONCATENATE(INDEX(AN7:AN42,SMALL(IF(ISNUMBER(AK7:AK42),IF(AK7:AK42&gt;0,IF(AN7:AN42&lt;&gt;"",ROW(AK7:AK42)-MIN(ROW(AK7:AK42))+1))),ROW()-ROW(A$45)+1)),",",TEXT(INDEX(AK7:AK42,SMALL(IF(ISNUMBER(AK7:AK42),IF(AK7:AK42&gt;0,IF(AN7:AN42&lt;&gt;"",ROW(AK7:AK42)-MIN(ROW(AK7:AK42))+1))),ROW()-ROW(A$45)+1)),"##0"),",",SUBSTITUTE(SUBSTITUTE(INDEX(IF(PURCHASE_DESCRIPTION&lt;&gt;"",PURCHASE_DESCRIPTION&amp;":","")&amp;A7:A42,SMALL(IF(ISNUMBER(AK7:AK42),IF(AK7:AK42&gt;0,IF(AN7:AN42&lt;&gt;"",ROW(AK7:AK42)-MIN(ROW(AK7:AK42))+1))),ROW()-ROW(A$45)+1)),",",";"),"
",";"),",",SUBSTITUTE(SUBSTITUTE(INDEX(IF(PURCHASE_DESCRIPTION&lt;&gt;"",PURCHASE_DESCRIPTION&amp;":","")&amp;C7:C42,SMALL(IF(ISNUMBER(AK7:AK42),IF(AK7:AK42&gt;0,IF(AN7:AN42&lt;&gt;"",ROW(AK7:AK42)-MIN(ROW(AK7:AK42))+1))),ROW()-ROW(A$45)+1)),",",";"),"
",";"),",",SUBSTITUTE(SUBSTITUTE(INDEX(IF(PURCHASE_DESCRIPTION&lt;&gt;"",PURCHASE_DESCRIPTION&amp;":","")&amp;F7:F42,SMALL(IF(ISNUMBER(AK7:AK42),IF(AK7:AK42&gt;0,IF(AN7:AN42&lt;&gt;"",ROW(AK7:AK42)-MIN(ROW(AK7:AK42))+1))),ROW()-ROW(A$45)+1)),",",";"),"
",";"),",",SUBSTITUTE(SUBSTITUTE(INDEX(IF(PURCHASE_DESCRIPTION&lt;&gt;"",PURCHASE_DESCRIPTION&amp;":","")&amp;D7:D42,SMALL(IF(ISNUMBER(AK7:AK42),IF(AK7:AK42&gt;0,IF(AN7:AN42&lt;&gt;"",ROW(AK7:AK42)-MIN(ROW(AK7:AK42))+1))),ROW()-ROW(A$45)+1)),",",";"),"
",";")),"")</f>
        <v>0</v>
      </c>
      <c r="AP48">
        <f t="array" ref="AP48">IFERROR(CONCATENATE(INDEX(AS7:AS42,SMALL(IF(ISNUMBER(AP7:AP42),IF(AP7:AP42&gt;0,IF(AS7:AS42&lt;&gt;"",ROW(AP7:AP42)-MIN(ROW(AP7:AP42))+1))),ROW()-ROW(A$45)+1)),",",TEXT(INDEX(AP7:AP42,SMALL(IF(ISNUMBER(AP7:AP42),IF(AP7:AP42&gt;0,IF(AS7:AS42&lt;&gt;"",ROW(AP7:AP42)-MIN(ROW(AP7:AP42))+1))),ROW()-ROW(A$45)+1)),"##0"),",",,",",,",",,",",INDEX(G7:G42,SMALL(IF(ISNUMBER(AP7:AP42),IF(AP7:AP42&gt;0,IF(AS7:AS42&lt;&gt;"",ROW(AP7:AP42)-MIN(ROW(AP7:AP42))+1))),ROW()-ROW(A$45)+1)),",",SUBSTITUTE(INDEX(IF(PURCHASE_DESCRIPTION&lt;&gt;"",PURCHASE_DESCRIPTION&amp;":","")&amp;A7:A42,SMALL(IF(ISNUMBER(AP7:AP42),IF(AP7:AP42&gt;0,IF(AS7:AS42&lt;&gt;"",ROW(AP7:AP42)-MIN(ROW(AP7:AP42))+1))),ROW()-ROW(A$45)+1)),",",";")),"")</f>
        <v>0</v>
      </c>
      <c r="AU48">
        <f t="array" ref="AU48">IFERROR(CONCATENATE(INDEX(AX7:AX42,SMALL(IF(ISNUMBER(AU7:AU42),IF(AU7:AU42&gt;0,IF(AX7:AX42&lt;&gt;"",ROW(AU7:AU42)-MIN(ROW(AU7:AU42))+1))),ROW()-ROW(A$45)+1))," ",TEXT(INDEX(AU7:AU42,SMALL(IF(ISNUMBER(AU7:AU42),IF(AU7:AU42&gt;0,IF(AX7:AX42&lt;&gt;"",ROW(AU7:AU42)-MIN(ROW(AU7:AU42))+1))),ROW()-ROW(A$45)+1)),"##0")," ",SUBSTITUTE(INDEX(IF(PURCHASE_DESCRIPTION&lt;&gt;"",PURCHASE_DESCRIPTION&amp;":","")&amp;A7:A42,SMALL(IF(ISNUMBER(AU7:AU42),IF(AU7:AU42&gt;0,IF(AX7:AX42&lt;&gt;"",ROW(AU7:AU42)-MIN(ROW(AU7:AU42))+1))),ROW()-ROW(A$45)+1))," ",";")),"")</f>
        <v>0</v>
      </c>
    </row>
    <row r="49" spans="12:47">
      <c r="L49">
        <f t="array" ref="L49">IFERROR(CONCATENATE(INDEX(O7:O42,SMALL(IF(ISNUMBER(L7:L42),IF(L7:L42&gt;0,IF(O7:O42&lt;&gt;"",ROW(L7:L42)-MIN(ROW(L7:L42))+1))),ROW()-ROW(A$45)+1)),",",TEXT(INDEX(L7:L42,SMALL(IF(ISNUMBER(L7:L42),IF(L7:L42&gt;0,IF(O7:O42&lt;&gt;"",ROW(L7:L42)-MIN(ROW(L7:L42))+1))),ROW()-ROW(A$45)+1)),"##0"),",",SUBSTITUTE(INDEX(IF(PURCHASE_DESCRIPTION&lt;&gt;"",PURCHASE_DESCRIPTION&amp;":","")&amp;A7:A42,SMALL(IF(ISNUMBER(L7:L42),IF(L7:L42&gt;0,IF(O7:O42&lt;&gt;"",ROW(L7:L42)-MIN(ROW(L7:L42))+1))),ROW()-ROW(A$45)+1)),",",";")),"")</f>
        <v>0</v>
      </c>
      <c r="Q49">
        <f t="array" ref="Q49">IFERROR(CONCATENATE(TEXT(INDEX(Q7:Q42,SMALL(IF(ISNUMBER(Q7:Q42),IF(Q7:Q42&gt;0,IF(T7:T42&lt;&gt;"",ROW(Q7:Q42)-MIN(ROW(Q7:Q42))+1))),ROW()-ROW(A$45)+1)),"##0"),",",INDEX(T7:T42,SMALL(IF(ISNUMBER(Q7:Q42),IF(Q7:Q42&gt;0,IF(T7:T42&lt;&gt;"",ROW(Q7:Q42)-MIN(ROW(Q7:Q42))+1))),ROW()-ROW(A$45)+1)),",",SUBSTITUTE(INDEX(IF(PURCHASE_DESCRIPTION&lt;&gt;"",PURCHASE_DESCRIPTION&amp;":","")&amp;A7:A42,SMALL(IF(ISNUMBER(Q7:Q42),IF(Q7:Q42&gt;0,IF(T7:T42&lt;&gt;"",ROW(Q7:Q42)-MIN(ROW(Q7:Q42))+1))),ROW()-ROW(A$45)+1)),",",";")),"")</f>
        <v>0</v>
      </c>
      <c r="V49">
        <f t="array" ref="V49">IFERROR(CONCATENATE(INDEX(Y7:Y42,SMALL(IF(ISNUMBER(V7:V42),IF(V7:V42&gt;0,IF(Y7:Y42&lt;&gt;"",ROW(V7:V42)-MIN(ROW(V7:V42))+1))),ROW()-ROW(A$45)+1)),",",TEXT(INDEX(V7:V42,SMALL(IF(ISNUMBER(V7:V42),IF(V7:V42&gt;0,IF(Y7:Y42&lt;&gt;"",ROW(V7:V42)-MIN(ROW(V7:V42))+1))),ROW()-ROW(A$45)+1)),"##0"),",",SUBSTITUTE(SUBSTITUTE(INDEX(IF(PURCHASE_DESCRIPTION&lt;&gt;"",PURCHASE_DESCRIPTION&amp;":","")&amp;A7:A42,SMALL(IF(ISNUMBER(V7:V42),IF(V7:V42&gt;0,IF(Y7:Y42&lt;&gt;"",ROW(V7:V42)-MIN(ROW(V7:V42))+1))),ROW()-ROW(A$45)+1)),",",";"),"
",";"),",",SUBSTITUTE(SUBSTITUTE(INDEX(IF(PURCHASE_DESCRIPTION&lt;&gt;"",PURCHASE_DESCRIPTION&amp;":","")&amp;C7:C42,SMALL(IF(ISNUMBER(V7:V42),IF(V7:V42&gt;0,IF(Y7:Y42&lt;&gt;"",ROW(V7:V42)-MIN(ROW(V7:V42))+1))),ROW()-ROW(A$45)+1)),",",";"),"
",";"),",",SUBSTITUTE(SUBSTITUTE(INDEX(IF(PURCHASE_DESCRIPTION&lt;&gt;"",PURCHASE_DESCRIPTION&amp;":","")&amp;F7:F42,SMALL(IF(ISNUMBER(V7:V42),IF(V7:V42&gt;0,IF(Y7:Y42&lt;&gt;"",ROW(V7:V42)-MIN(ROW(V7:V42))+1))),ROW()-ROW(A$45)+1)),",",";"),"
",";"),",",SUBSTITUTE(SUBSTITUTE(INDEX(IF(PURCHASE_DESCRIPTION&lt;&gt;"",PURCHASE_DESCRIPTION&amp;":","")&amp;D7:D42,SMALL(IF(ISNUMBER(V7:V42),IF(V7:V42&gt;0,IF(Y7:Y42&lt;&gt;"",ROW(V7:V42)-MIN(ROW(V7:V42))+1))),ROW()-ROW(A$45)+1)),",",";"),"
",";")),"")</f>
        <v>0</v>
      </c>
      <c r="AA49">
        <f t="array" ref="AA49">IFERROR(CONCATENATE(TEXT(INDEX(AA7:AA42,SMALL(IF(ISNUMBER(AA7:AA42),IF(AA7:AA42&gt;0,IF(AD7:AD42&lt;&gt;"",ROW(AA7:AA42)-MIN(ROW(AA7:AA42))+1))),ROW()-ROW(A$46)+1)),"##0"),",",SUBSTITUTE(INDEX(IF(PURCHASE_DESCRIPTION&lt;&gt;"",PURCHASE_DESCRIPTION&amp;":","")&amp;A7:A42,SMALL(IF(ISNUMBER(AA7:AA42),IF(AA7:AA42&gt;0,IF(AD7:AD42&lt;&gt;"",ROW(AA7:AA42)-MIN(ROW(AA7:AA42))+1))),ROW()-ROW(A$46)+1)),",",";"),",",SUBSTITUTE(INDEX(IF(PURCHASE_DESCRIPTION&lt;&gt;"",PURCHASE_DESCRIPTION&amp;":","")&amp;E7:E42,SMALL(IF(ISNUMBER(AA7:AA42),IF(AA7:AA42&gt;0,IF(AD7:AD42&lt;&gt;"",ROW(AA7:AA42)-MIN(ROW(AA7:AA42))+1))),ROW()-ROW(A$46)+1)),",",";"),",",INDEX(AD7:AD42,SMALL(IF(ISNUMBER(AA7:AA42),IF(AA7:AA42&gt;0,IF(AD7:AD42&lt;&gt;"",ROW(AA7:AA42)-MIN(ROW(AA7:AA42))+1))),ROW()-ROW(A$46)+1))),"")</f>
        <v>0</v>
      </c>
      <c r="AF49">
        <f t="array" ref="AF49">IFERROR(CONCATENATE(INDEX(AI7:AI42,SMALL(IF(ISNUMBER(AF7:AF42),IF(AF7:AF42&gt;0,IF(AI7:AI42&lt;&gt;"",ROW(AF7:AF42)-MIN(ROW(AF7:AF42))+1))),ROW()-ROW(A$45)+1)),"|",TEXT(INDEX(AF7:AF42,SMALL(IF(ISNUMBER(AF7:AF42),IF(AF7:AF42&gt;0,IF(AI7:AI42&lt;&gt;"",ROW(AF7:AF42)-MIN(ROW(AF7:AF42))+1))),ROW()-ROW(A$45)+1)),"##0"),"|",SUBSTITUTE(SUBSTITUTE(INDEX(IF(PURCHASE_DESCRIPTION&lt;&gt;"",PURCHASE_DESCRIPTION&amp;":","")&amp;A7:A42,SMALL(IF(ISNUMBER(AF7:AF42),IF(AF7:AF42&gt;0,IF(AI7:AI42&lt;&gt;"",ROW(AF7:AF42)-MIN(ROW(AF7:AF42))+1))),ROW()-ROW(A$45)+1)),"|",";")," ","_")),"")</f>
        <v>0</v>
      </c>
      <c r="AK49">
        <f t="array" ref="AK49">IFERROR(CONCATENATE(INDEX(AN7:AN42,SMALL(IF(ISNUMBER(AK7:AK42),IF(AK7:AK42&gt;0,IF(AN7:AN42&lt;&gt;"",ROW(AK7:AK42)-MIN(ROW(AK7:AK42))+1))),ROW()-ROW(A$45)+1)),",",TEXT(INDEX(AK7:AK42,SMALL(IF(ISNUMBER(AK7:AK42),IF(AK7:AK42&gt;0,IF(AN7:AN42&lt;&gt;"",ROW(AK7:AK42)-MIN(ROW(AK7:AK42))+1))),ROW()-ROW(A$45)+1)),"##0"),",",SUBSTITUTE(SUBSTITUTE(INDEX(IF(PURCHASE_DESCRIPTION&lt;&gt;"",PURCHASE_DESCRIPTION&amp;":","")&amp;A7:A42,SMALL(IF(ISNUMBER(AK7:AK42),IF(AK7:AK42&gt;0,IF(AN7:AN42&lt;&gt;"",ROW(AK7:AK42)-MIN(ROW(AK7:AK42))+1))),ROW()-ROW(A$45)+1)),",",";"),"
",";"),",",SUBSTITUTE(SUBSTITUTE(INDEX(IF(PURCHASE_DESCRIPTION&lt;&gt;"",PURCHASE_DESCRIPTION&amp;":","")&amp;C7:C42,SMALL(IF(ISNUMBER(AK7:AK42),IF(AK7:AK42&gt;0,IF(AN7:AN42&lt;&gt;"",ROW(AK7:AK42)-MIN(ROW(AK7:AK42))+1))),ROW()-ROW(A$45)+1)),",",";"),"
",";"),",",SUBSTITUTE(SUBSTITUTE(INDEX(IF(PURCHASE_DESCRIPTION&lt;&gt;"",PURCHASE_DESCRIPTION&amp;":","")&amp;F7:F42,SMALL(IF(ISNUMBER(AK7:AK42),IF(AK7:AK42&gt;0,IF(AN7:AN42&lt;&gt;"",ROW(AK7:AK42)-MIN(ROW(AK7:AK42))+1))),ROW()-ROW(A$45)+1)),",",";"),"
",";"),",",SUBSTITUTE(SUBSTITUTE(INDEX(IF(PURCHASE_DESCRIPTION&lt;&gt;"",PURCHASE_DESCRIPTION&amp;":","")&amp;D7:D42,SMALL(IF(ISNUMBER(AK7:AK42),IF(AK7:AK42&gt;0,IF(AN7:AN42&lt;&gt;"",ROW(AK7:AK42)-MIN(ROW(AK7:AK42))+1))),ROW()-ROW(A$45)+1)),",",";"),"
",";")),"")</f>
        <v>0</v>
      </c>
      <c r="AP49">
        <f t="array" ref="AP49">IFERROR(CONCATENATE(INDEX(AS7:AS42,SMALL(IF(ISNUMBER(AP7:AP42),IF(AP7:AP42&gt;0,IF(AS7:AS42&lt;&gt;"",ROW(AP7:AP42)-MIN(ROW(AP7:AP42))+1))),ROW()-ROW(A$45)+1)),",",TEXT(INDEX(AP7:AP42,SMALL(IF(ISNUMBER(AP7:AP42),IF(AP7:AP42&gt;0,IF(AS7:AS42&lt;&gt;"",ROW(AP7:AP42)-MIN(ROW(AP7:AP42))+1))),ROW()-ROW(A$45)+1)),"##0"),",",,",",,",",,",",INDEX(G7:G42,SMALL(IF(ISNUMBER(AP7:AP42),IF(AP7:AP42&gt;0,IF(AS7:AS42&lt;&gt;"",ROW(AP7:AP42)-MIN(ROW(AP7:AP42))+1))),ROW()-ROW(A$45)+1)),",",SUBSTITUTE(INDEX(IF(PURCHASE_DESCRIPTION&lt;&gt;"",PURCHASE_DESCRIPTION&amp;":","")&amp;A7:A42,SMALL(IF(ISNUMBER(AP7:AP42),IF(AP7:AP42&gt;0,IF(AS7:AS42&lt;&gt;"",ROW(AP7:AP42)-MIN(ROW(AP7:AP42))+1))),ROW()-ROW(A$45)+1)),",",";")),"")</f>
        <v>0</v>
      </c>
      <c r="AU49">
        <f t="array" ref="AU49">IFERROR(CONCATENATE(INDEX(AX7:AX42,SMALL(IF(ISNUMBER(AU7:AU42),IF(AU7:AU42&gt;0,IF(AX7:AX42&lt;&gt;"",ROW(AU7:AU42)-MIN(ROW(AU7:AU42))+1))),ROW()-ROW(A$45)+1))," ",TEXT(INDEX(AU7:AU42,SMALL(IF(ISNUMBER(AU7:AU42),IF(AU7:AU42&gt;0,IF(AX7:AX42&lt;&gt;"",ROW(AU7:AU42)-MIN(ROW(AU7:AU42))+1))),ROW()-ROW(A$45)+1)),"##0")," ",SUBSTITUTE(INDEX(IF(PURCHASE_DESCRIPTION&lt;&gt;"",PURCHASE_DESCRIPTION&amp;":","")&amp;A7:A42,SMALL(IF(ISNUMBER(AU7:AU42),IF(AU7:AU42&gt;0,IF(AX7:AX42&lt;&gt;"",ROW(AU7:AU42)-MIN(ROW(AU7:AU42))+1))),ROW()-ROW(A$45)+1))," ",";")),"")</f>
        <v>0</v>
      </c>
    </row>
    <row r="50" spans="12:47">
      <c r="L50">
        <f t="array" ref="L50">IFERROR(CONCATENATE(INDEX(O7:O42,SMALL(IF(ISNUMBER(L7:L42),IF(L7:L42&gt;0,IF(O7:O42&lt;&gt;"",ROW(L7:L42)-MIN(ROW(L7:L42))+1))),ROW()-ROW(A$45)+1)),",",TEXT(INDEX(L7:L42,SMALL(IF(ISNUMBER(L7:L42),IF(L7:L42&gt;0,IF(O7:O42&lt;&gt;"",ROW(L7:L42)-MIN(ROW(L7:L42))+1))),ROW()-ROW(A$45)+1)),"##0"),",",SUBSTITUTE(INDEX(IF(PURCHASE_DESCRIPTION&lt;&gt;"",PURCHASE_DESCRIPTION&amp;":","")&amp;A7:A42,SMALL(IF(ISNUMBER(L7:L42),IF(L7:L42&gt;0,IF(O7:O42&lt;&gt;"",ROW(L7:L42)-MIN(ROW(L7:L42))+1))),ROW()-ROW(A$45)+1)),",",";")),"")</f>
        <v>0</v>
      </c>
      <c r="Q50">
        <f t="array" ref="Q50">IFERROR(CONCATENATE(TEXT(INDEX(Q7:Q42,SMALL(IF(ISNUMBER(Q7:Q42),IF(Q7:Q42&gt;0,IF(T7:T42&lt;&gt;"",ROW(Q7:Q42)-MIN(ROW(Q7:Q42))+1))),ROW()-ROW(A$45)+1)),"##0"),",",INDEX(T7:T42,SMALL(IF(ISNUMBER(Q7:Q42),IF(Q7:Q42&gt;0,IF(T7:T42&lt;&gt;"",ROW(Q7:Q42)-MIN(ROW(Q7:Q42))+1))),ROW()-ROW(A$45)+1)),",",SUBSTITUTE(INDEX(IF(PURCHASE_DESCRIPTION&lt;&gt;"",PURCHASE_DESCRIPTION&amp;":","")&amp;A7:A42,SMALL(IF(ISNUMBER(Q7:Q42),IF(Q7:Q42&gt;0,IF(T7:T42&lt;&gt;"",ROW(Q7:Q42)-MIN(ROW(Q7:Q42))+1))),ROW()-ROW(A$45)+1)),",",";")),"")</f>
        <v>0</v>
      </c>
      <c r="V50">
        <f t="array" ref="V50">IFERROR(CONCATENATE(INDEX(Y7:Y42,SMALL(IF(ISNUMBER(V7:V42),IF(V7:V42&gt;0,IF(Y7:Y42&lt;&gt;"",ROW(V7:V42)-MIN(ROW(V7:V42))+1))),ROW()-ROW(A$45)+1)),",",TEXT(INDEX(V7:V42,SMALL(IF(ISNUMBER(V7:V42),IF(V7:V42&gt;0,IF(Y7:Y42&lt;&gt;"",ROW(V7:V42)-MIN(ROW(V7:V42))+1))),ROW()-ROW(A$45)+1)),"##0"),",",SUBSTITUTE(SUBSTITUTE(INDEX(IF(PURCHASE_DESCRIPTION&lt;&gt;"",PURCHASE_DESCRIPTION&amp;":","")&amp;A7:A42,SMALL(IF(ISNUMBER(V7:V42),IF(V7:V42&gt;0,IF(Y7:Y42&lt;&gt;"",ROW(V7:V42)-MIN(ROW(V7:V42))+1))),ROW()-ROW(A$45)+1)),",",";"),"
",";"),",",SUBSTITUTE(SUBSTITUTE(INDEX(IF(PURCHASE_DESCRIPTION&lt;&gt;"",PURCHASE_DESCRIPTION&amp;":","")&amp;C7:C42,SMALL(IF(ISNUMBER(V7:V42),IF(V7:V42&gt;0,IF(Y7:Y42&lt;&gt;"",ROW(V7:V42)-MIN(ROW(V7:V42))+1))),ROW()-ROW(A$45)+1)),",",";"),"
",";"),",",SUBSTITUTE(SUBSTITUTE(INDEX(IF(PURCHASE_DESCRIPTION&lt;&gt;"",PURCHASE_DESCRIPTION&amp;":","")&amp;F7:F42,SMALL(IF(ISNUMBER(V7:V42),IF(V7:V42&gt;0,IF(Y7:Y42&lt;&gt;"",ROW(V7:V42)-MIN(ROW(V7:V42))+1))),ROW()-ROW(A$45)+1)),",",";"),"
",";"),",",SUBSTITUTE(SUBSTITUTE(INDEX(IF(PURCHASE_DESCRIPTION&lt;&gt;"",PURCHASE_DESCRIPTION&amp;":","")&amp;D7:D42,SMALL(IF(ISNUMBER(V7:V42),IF(V7:V42&gt;0,IF(Y7:Y42&lt;&gt;"",ROW(V7:V42)-MIN(ROW(V7:V42))+1))),ROW()-ROW(A$45)+1)),",",";"),"
",";")),"")</f>
        <v>0</v>
      </c>
      <c r="AA50">
        <f t="array" ref="AA50">IFERROR(CONCATENATE(TEXT(INDEX(AA7:AA42,SMALL(IF(ISNUMBER(AA7:AA42),IF(AA7:AA42&gt;0,IF(AD7:AD42&lt;&gt;"",ROW(AA7:AA42)-MIN(ROW(AA7:AA42))+1))),ROW()-ROW(A$46)+1)),"##0"),",",SUBSTITUTE(INDEX(IF(PURCHASE_DESCRIPTION&lt;&gt;"",PURCHASE_DESCRIPTION&amp;":","")&amp;A7:A42,SMALL(IF(ISNUMBER(AA7:AA42),IF(AA7:AA42&gt;0,IF(AD7:AD42&lt;&gt;"",ROW(AA7:AA42)-MIN(ROW(AA7:AA42))+1))),ROW()-ROW(A$46)+1)),",",";"),",",SUBSTITUTE(INDEX(IF(PURCHASE_DESCRIPTION&lt;&gt;"",PURCHASE_DESCRIPTION&amp;":","")&amp;E7:E42,SMALL(IF(ISNUMBER(AA7:AA42),IF(AA7:AA42&gt;0,IF(AD7:AD42&lt;&gt;"",ROW(AA7:AA42)-MIN(ROW(AA7:AA42))+1))),ROW()-ROW(A$46)+1)),",",";"),",",INDEX(AD7:AD42,SMALL(IF(ISNUMBER(AA7:AA42),IF(AA7:AA42&gt;0,IF(AD7:AD42&lt;&gt;"",ROW(AA7:AA42)-MIN(ROW(AA7:AA42))+1))),ROW()-ROW(A$46)+1))),"")</f>
        <v>0</v>
      </c>
      <c r="AF50">
        <f t="array" ref="AF50">IFERROR(CONCATENATE(INDEX(AI7:AI42,SMALL(IF(ISNUMBER(AF7:AF42),IF(AF7:AF42&gt;0,IF(AI7:AI42&lt;&gt;"",ROW(AF7:AF42)-MIN(ROW(AF7:AF42))+1))),ROW()-ROW(A$45)+1)),"|",TEXT(INDEX(AF7:AF42,SMALL(IF(ISNUMBER(AF7:AF42),IF(AF7:AF42&gt;0,IF(AI7:AI42&lt;&gt;"",ROW(AF7:AF42)-MIN(ROW(AF7:AF42))+1))),ROW()-ROW(A$45)+1)),"##0"),"|",SUBSTITUTE(SUBSTITUTE(INDEX(IF(PURCHASE_DESCRIPTION&lt;&gt;"",PURCHASE_DESCRIPTION&amp;":","")&amp;A7:A42,SMALL(IF(ISNUMBER(AF7:AF42),IF(AF7:AF42&gt;0,IF(AI7:AI42&lt;&gt;"",ROW(AF7:AF42)-MIN(ROW(AF7:AF42))+1))),ROW()-ROW(A$45)+1)),"|",";")," ","_")),"")</f>
        <v>0</v>
      </c>
      <c r="AK50">
        <f t="array" ref="AK50">IFERROR(CONCATENATE(INDEX(AN7:AN42,SMALL(IF(ISNUMBER(AK7:AK42),IF(AK7:AK42&gt;0,IF(AN7:AN42&lt;&gt;"",ROW(AK7:AK42)-MIN(ROW(AK7:AK42))+1))),ROW()-ROW(A$45)+1)),",",TEXT(INDEX(AK7:AK42,SMALL(IF(ISNUMBER(AK7:AK42),IF(AK7:AK42&gt;0,IF(AN7:AN42&lt;&gt;"",ROW(AK7:AK42)-MIN(ROW(AK7:AK42))+1))),ROW()-ROW(A$45)+1)),"##0"),",",SUBSTITUTE(SUBSTITUTE(INDEX(IF(PURCHASE_DESCRIPTION&lt;&gt;"",PURCHASE_DESCRIPTION&amp;":","")&amp;A7:A42,SMALL(IF(ISNUMBER(AK7:AK42),IF(AK7:AK42&gt;0,IF(AN7:AN42&lt;&gt;"",ROW(AK7:AK42)-MIN(ROW(AK7:AK42))+1))),ROW()-ROW(A$45)+1)),",",";"),"
",";"),",",SUBSTITUTE(SUBSTITUTE(INDEX(IF(PURCHASE_DESCRIPTION&lt;&gt;"",PURCHASE_DESCRIPTION&amp;":","")&amp;C7:C42,SMALL(IF(ISNUMBER(AK7:AK42),IF(AK7:AK42&gt;0,IF(AN7:AN42&lt;&gt;"",ROW(AK7:AK42)-MIN(ROW(AK7:AK42))+1))),ROW()-ROW(A$45)+1)),",",";"),"
",";"),",",SUBSTITUTE(SUBSTITUTE(INDEX(IF(PURCHASE_DESCRIPTION&lt;&gt;"",PURCHASE_DESCRIPTION&amp;":","")&amp;F7:F42,SMALL(IF(ISNUMBER(AK7:AK42),IF(AK7:AK42&gt;0,IF(AN7:AN42&lt;&gt;"",ROW(AK7:AK42)-MIN(ROW(AK7:AK42))+1))),ROW()-ROW(A$45)+1)),",",";"),"
",";"),",",SUBSTITUTE(SUBSTITUTE(INDEX(IF(PURCHASE_DESCRIPTION&lt;&gt;"",PURCHASE_DESCRIPTION&amp;":","")&amp;D7:D42,SMALL(IF(ISNUMBER(AK7:AK42),IF(AK7:AK42&gt;0,IF(AN7:AN42&lt;&gt;"",ROW(AK7:AK42)-MIN(ROW(AK7:AK42))+1))),ROW()-ROW(A$45)+1)),",",";"),"
",";")),"")</f>
        <v>0</v>
      </c>
      <c r="AP50">
        <f t="array" ref="AP50">IFERROR(CONCATENATE(INDEX(AS7:AS42,SMALL(IF(ISNUMBER(AP7:AP42),IF(AP7:AP42&gt;0,IF(AS7:AS42&lt;&gt;"",ROW(AP7:AP42)-MIN(ROW(AP7:AP42))+1))),ROW()-ROW(A$45)+1)),",",TEXT(INDEX(AP7:AP42,SMALL(IF(ISNUMBER(AP7:AP42),IF(AP7:AP42&gt;0,IF(AS7:AS42&lt;&gt;"",ROW(AP7:AP42)-MIN(ROW(AP7:AP42))+1))),ROW()-ROW(A$45)+1)),"##0"),",",,",",,",",,",",INDEX(G7:G42,SMALL(IF(ISNUMBER(AP7:AP42),IF(AP7:AP42&gt;0,IF(AS7:AS42&lt;&gt;"",ROW(AP7:AP42)-MIN(ROW(AP7:AP42))+1))),ROW()-ROW(A$45)+1)),",",SUBSTITUTE(INDEX(IF(PURCHASE_DESCRIPTION&lt;&gt;"",PURCHASE_DESCRIPTION&amp;":","")&amp;A7:A42,SMALL(IF(ISNUMBER(AP7:AP42),IF(AP7:AP42&gt;0,IF(AS7:AS42&lt;&gt;"",ROW(AP7:AP42)-MIN(ROW(AP7:AP42))+1))),ROW()-ROW(A$45)+1)),",",";")),"")</f>
        <v>0</v>
      </c>
      <c r="AU50">
        <f t="array" ref="AU50">IFERROR(CONCATENATE(INDEX(AX7:AX42,SMALL(IF(ISNUMBER(AU7:AU42),IF(AU7:AU42&gt;0,IF(AX7:AX42&lt;&gt;"",ROW(AU7:AU42)-MIN(ROW(AU7:AU42))+1))),ROW()-ROW(A$45)+1))," ",TEXT(INDEX(AU7:AU42,SMALL(IF(ISNUMBER(AU7:AU42),IF(AU7:AU42&gt;0,IF(AX7:AX42&lt;&gt;"",ROW(AU7:AU42)-MIN(ROW(AU7:AU42))+1))),ROW()-ROW(A$45)+1)),"##0")," ",SUBSTITUTE(INDEX(IF(PURCHASE_DESCRIPTION&lt;&gt;"",PURCHASE_DESCRIPTION&amp;":","")&amp;A7:A42,SMALL(IF(ISNUMBER(AU7:AU42),IF(AU7:AU42&gt;0,IF(AX7:AX42&lt;&gt;"",ROW(AU7:AU42)-MIN(ROW(AU7:AU42))+1))),ROW()-ROW(A$45)+1))," ",";")),"")</f>
        <v>0</v>
      </c>
    </row>
    <row r="51" spans="12:47">
      <c r="L51">
        <f t="array" ref="L51">IFERROR(CONCATENATE(INDEX(O7:O42,SMALL(IF(ISNUMBER(L7:L42),IF(L7:L42&gt;0,IF(O7:O42&lt;&gt;"",ROW(L7:L42)-MIN(ROW(L7:L42))+1))),ROW()-ROW(A$45)+1)),",",TEXT(INDEX(L7:L42,SMALL(IF(ISNUMBER(L7:L42),IF(L7:L42&gt;0,IF(O7:O42&lt;&gt;"",ROW(L7:L42)-MIN(ROW(L7:L42))+1))),ROW()-ROW(A$45)+1)),"##0"),",",SUBSTITUTE(INDEX(IF(PURCHASE_DESCRIPTION&lt;&gt;"",PURCHASE_DESCRIPTION&amp;":","")&amp;A7:A42,SMALL(IF(ISNUMBER(L7:L42),IF(L7:L42&gt;0,IF(O7:O42&lt;&gt;"",ROW(L7:L42)-MIN(ROW(L7:L42))+1))),ROW()-ROW(A$45)+1)),",",";")),"")</f>
        <v>0</v>
      </c>
      <c r="Q51">
        <f t="array" ref="Q51">IFERROR(CONCATENATE(TEXT(INDEX(Q7:Q42,SMALL(IF(ISNUMBER(Q7:Q42),IF(Q7:Q42&gt;0,IF(T7:T42&lt;&gt;"",ROW(Q7:Q42)-MIN(ROW(Q7:Q42))+1))),ROW()-ROW(A$45)+1)),"##0"),",",INDEX(T7:T42,SMALL(IF(ISNUMBER(Q7:Q42),IF(Q7:Q42&gt;0,IF(T7:T42&lt;&gt;"",ROW(Q7:Q42)-MIN(ROW(Q7:Q42))+1))),ROW()-ROW(A$45)+1)),",",SUBSTITUTE(INDEX(IF(PURCHASE_DESCRIPTION&lt;&gt;"",PURCHASE_DESCRIPTION&amp;":","")&amp;A7:A42,SMALL(IF(ISNUMBER(Q7:Q42),IF(Q7:Q42&gt;0,IF(T7:T42&lt;&gt;"",ROW(Q7:Q42)-MIN(ROW(Q7:Q42))+1))),ROW()-ROW(A$45)+1)),",",";")),"")</f>
        <v>0</v>
      </c>
      <c r="V51">
        <f t="array" ref="V51">IFERROR(CONCATENATE(INDEX(Y7:Y42,SMALL(IF(ISNUMBER(V7:V42),IF(V7:V42&gt;0,IF(Y7:Y42&lt;&gt;"",ROW(V7:V42)-MIN(ROW(V7:V42))+1))),ROW()-ROW(A$45)+1)),",",TEXT(INDEX(V7:V42,SMALL(IF(ISNUMBER(V7:V42),IF(V7:V42&gt;0,IF(Y7:Y42&lt;&gt;"",ROW(V7:V42)-MIN(ROW(V7:V42))+1))),ROW()-ROW(A$45)+1)),"##0"),",",SUBSTITUTE(SUBSTITUTE(INDEX(IF(PURCHASE_DESCRIPTION&lt;&gt;"",PURCHASE_DESCRIPTION&amp;":","")&amp;A7:A42,SMALL(IF(ISNUMBER(V7:V42),IF(V7:V42&gt;0,IF(Y7:Y42&lt;&gt;"",ROW(V7:V42)-MIN(ROW(V7:V42))+1))),ROW()-ROW(A$45)+1)),",",";"),"
",";"),",",SUBSTITUTE(SUBSTITUTE(INDEX(IF(PURCHASE_DESCRIPTION&lt;&gt;"",PURCHASE_DESCRIPTION&amp;":","")&amp;C7:C42,SMALL(IF(ISNUMBER(V7:V42),IF(V7:V42&gt;0,IF(Y7:Y42&lt;&gt;"",ROW(V7:V42)-MIN(ROW(V7:V42))+1))),ROW()-ROW(A$45)+1)),",",";"),"
",";"),",",SUBSTITUTE(SUBSTITUTE(INDEX(IF(PURCHASE_DESCRIPTION&lt;&gt;"",PURCHASE_DESCRIPTION&amp;":","")&amp;F7:F42,SMALL(IF(ISNUMBER(V7:V42),IF(V7:V42&gt;0,IF(Y7:Y42&lt;&gt;"",ROW(V7:V42)-MIN(ROW(V7:V42))+1))),ROW()-ROW(A$45)+1)),",",";"),"
",";"),",",SUBSTITUTE(SUBSTITUTE(INDEX(IF(PURCHASE_DESCRIPTION&lt;&gt;"",PURCHASE_DESCRIPTION&amp;":","")&amp;D7:D42,SMALL(IF(ISNUMBER(V7:V42),IF(V7:V42&gt;0,IF(Y7:Y42&lt;&gt;"",ROW(V7:V42)-MIN(ROW(V7:V42))+1))),ROW()-ROW(A$45)+1)),",",";"),"
",";")),"")</f>
        <v>0</v>
      </c>
      <c r="AA51">
        <f t="array" ref="AA51">IFERROR(CONCATENATE(TEXT(INDEX(AA7:AA42,SMALL(IF(ISNUMBER(AA7:AA42),IF(AA7:AA42&gt;0,IF(AD7:AD42&lt;&gt;"",ROW(AA7:AA42)-MIN(ROW(AA7:AA42))+1))),ROW()-ROW(A$46)+1)),"##0"),",",SUBSTITUTE(INDEX(IF(PURCHASE_DESCRIPTION&lt;&gt;"",PURCHASE_DESCRIPTION&amp;":","")&amp;A7:A42,SMALL(IF(ISNUMBER(AA7:AA42),IF(AA7:AA42&gt;0,IF(AD7:AD42&lt;&gt;"",ROW(AA7:AA42)-MIN(ROW(AA7:AA42))+1))),ROW()-ROW(A$46)+1)),",",";"),",",SUBSTITUTE(INDEX(IF(PURCHASE_DESCRIPTION&lt;&gt;"",PURCHASE_DESCRIPTION&amp;":","")&amp;E7:E42,SMALL(IF(ISNUMBER(AA7:AA42),IF(AA7:AA42&gt;0,IF(AD7:AD42&lt;&gt;"",ROW(AA7:AA42)-MIN(ROW(AA7:AA42))+1))),ROW()-ROW(A$46)+1)),",",";"),",",INDEX(AD7:AD42,SMALL(IF(ISNUMBER(AA7:AA42),IF(AA7:AA42&gt;0,IF(AD7:AD42&lt;&gt;"",ROW(AA7:AA42)-MIN(ROW(AA7:AA42))+1))),ROW()-ROW(A$46)+1))),"")</f>
        <v>0</v>
      </c>
      <c r="AF51">
        <f t="array" ref="AF51">IFERROR(CONCATENATE(INDEX(AI7:AI42,SMALL(IF(ISNUMBER(AF7:AF42),IF(AF7:AF42&gt;0,IF(AI7:AI42&lt;&gt;"",ROW(AF7:AF42)-MIN(ROW(AF7:AF42))+1))),ROW()-ROW(A$45)+1)),"|",TEXT(INDEX(AF7:AF42,SMALL(IF(ISNUMBER(AF7:AF42),IF(AF7:AF42&gt;0,IF(AI7:AI42&lt;&gt;"",ROW(AF7:AF42)-MIN(ROW(AF7:AF42))+1))),ROW()-ROW(A$45)+1)),"##0"),"|",SUBSTITUTE(SUBSTITUTE(INDEX(IF(PURCHASE_DESCRIPTION&lt;&gt;"",PURCHASE_DESCRIPTION&amp;":","")&amp;A7:A42,SMALL(IF(ISNUMBER(AF7:AF42),IF(AF7:AF42&gt;0,IF(AI7:AI42&lt;&gt;"",ROW(AF7:AF42)-MIN(ROW(AF7:AF42))+1))),ROW()-ROW(A$45)+1)),"|",";")," ","_")),"")</f>
        <v>0</v>
      </c>
      <c r="AK51">
        <f t="array" ref="AK51">IFERROR(CONCATENATE(INDEX(AN7:AN42,SMALL(IF(ISNUMBER(AK7:AK42),IF(AK7:AK42&gt;0,IF(AN7:AN42&lt;&gt;"",ROW(AK7:AK42)-MIN(ROW(AK7:AK42))+1))),ROW()-ROW(A$45)+1)),",",TEXT(INDEX(AK7:AK42,SMALL(IF(ISNUMBER(AK7:AK42),IF(AK7:AK42&gt;0,IF(AN7:AN42&lt;&gt;"",ROW(AK7:AK42)-MIN(ROW(AK7:AK42))+1))),ROW()-ROW(A$45)+1)),"##0"),",",SUBSTITUTE(SUBSTITUTE(INDEX(IF(PURCHASE_DESCRIPTION&lt;&gt;"",PURCHASE_DESCRIPTION&amp;":","")&amp;A7:A42,SMALL(IF(ISNUMBER(AK7:AK42),IF(AK7:AK42&gt;0,IF(AN7:AN42&lt;&gt;"",ROW(AK7:AK42)-MIN(ROW(AK7:AK42))+1))),ROW()-ROW(A$45)+1)),",",";"),"
",";"),",",SUBSTITUTE(SUBSTITUTE(INDEX(IF(PURCHASE_DESCRIPTION&lt;&gt;"",PURCHASE_DESCRIPTION&amp;":","")&amp;C7:C42,SMALL(IF(ISNUMBER(AK7:AK42),IF(AK7:AK42&gt;0,IF(AN7:AN42&lt;&gt;"",ROW(AK7:AK42)-MIN(ROW(AK7:AK42))+1))),ROW()-ROW(A$45)+1)),",",";"),"
",";"),",",SUBSTITUTE(SUBSTITUTE(INDEX(IF(PURCHASE_DESCRIPTION&lt;&gt;"",PURCHASE_DESCRIPTION&amp;":","")&amp;F7:F42,SMALL(IF(ISNUMBER(AK7:AK42),IF(AK7:AK42&gt;0,IF(AN7:AN42&lt;&gt;"",ROW(AK7:AK42)-MIN(ROW(AK7:AK42))+1))),ROW()-ROW(A$45)+1)),",",";"),"
",";"),",",SUBSTITUTE(SUBSTITUTE(INDEX(IF(PURCHASE_DESCRIPTION&lt;&gt;"",PURCHASE_DESCRIPTION&amp;":","")&amp;D7:D42,SMALL(IF(ISNUMBER(AK7:AK42),IF(AK7:AK42&gt;0,IF(AN7:AN42&lt;&gt;"",ROW(AK7:AK42)-MIN(ROW(AK7:AK42))+1))),ROW()-ROW(A$45)+1)),",",";"),"
",";")),"")</f>
        <v>0</v>
      </c>
      <c r="AP51">
        <f t="array" ref="AP51">IFERROR(CONCATENATE(INDEX(AS7:AS42,SMALL(IF(ISNUMBER(AP7:AP42),IF(AP7:AP42&gt;0,IF(AS7:AS42&lt;&gt;"",ROW(AP7:AP42)-MIN(ROW(AP7:AP42))+1))),ROW()-ROW(A$45)+1)),",",TEXT(INDEX(AP7:AP42,SMALL(IF(ISNUMBER(AP7:AP42),IF(AP7:AP42&gt;0,IF(AS7:AS42&lt;&gt;"",ROW(AP7:AP42)-MIN(ROW(AP7:AP42))+1))),ROW()-ROW(A$45)+1)),"##0"),",",,",",,",",,",",INDEX(G7:G42,SMALL(IF(ISNUMBER(AP7:AP42),IF(AP7:AP42&gt;0,IF(AS7:AS42&lt;&gt;"",ROW(AP7:AP42)-MIN(ROW(AP7:AP42))+1))),ROW()-ROW(A$45)+1)),",",SUBSTITUTE(INDEX(IF(PURCHASE_DESCRIPTION&lt;&gt;"",PURCHASE_DESCRIPTION&amp;":","")&amp;A7:A42,SMALL(IF(ISNUMBER(AP7:AP42),IF(AP7:AP42&gt;0,IF(AS7:AS42&lt;&gt;"",ROW(AP7:AP42)-MIN(ROW(AP7:AP42))+1))),ROW()-ROW(A$45)+1)),",",";")),"")</f>
        <v>0</v>
      </c>
      <c r="AU51">
        <f t="array" ref="AU51">IFERROR(CONCATENATE(INDEX(AX7:AX42,SMALL(IF(ISNUMBER(AU7:AU42),IF(AU7:AU42&gt;0,IF(AX7:AX42&lt;&gt;"",ROW(AU7:AU42)-MIN(ROW(AU7:AU42))+1))),ROW()-ROW(A$45)+1))," ",TEXT(INDEX(AU7:AU42,SMALL(IF(ISNUMBER(AU7:AU42),IF(AU7:AU42&gt;0,IF(AX7:AX42&lt;&gt;"",ROW(AU7:AU42)-MIN(ROW(AU7:AU42))+1))),ROW()-ROW(A$45)+1)),"##0")," ",SUBSTITUTE(INDEX(IF(PURCHASE_DESCRIPTION&lt;&gt;"",PURCHASE_DESCRIPTION&amp;":","")&amp;A7:A42,SMALL(IF(ISNUMBER(AU7:AU42),IF(AU7:AU42&gt;0,IF(AX7:AX42&lt;&gt;"",ROW(AU7:AU42)-MIN(ROW(AU7:AU42))+1))),ROW()-ROW(A$45)+1))," ",";")),"")</f>
        <v>0</v>
      </c>
    </row>
    <row r="52" spans="12:47">
      <c r="L52">
        <f t="array" ref="L52">IFERROR(CONCATENATE(INDEX(O7:O42,SMALL(IF(ISNUMBER(L7:L42),IF(L7:L42&gt;0,IF(O7:O42&lt;&gt;"",ROW(L7:L42)-MIN(ROW(L7:L42))+1))),ROW()-ROW(A$45)+1)),",",TEXT(INDEX(L7:L42,SMALL(IF(ISNUMBER(L7:L42),IF(L7:L42&gt;0,IF(O7:O42&lt;&gt;"",ROW(L7:L42)-MIN(ROW(L7:L42))+1))),ROW()-ROW(A$45)+1)),"##0"),",",SUBSTITUTE(INDEX(IF(PURCHASE_DESCRIPTION&lt;&gt;"",PURCHASE_DESCRIPTION&amp;":","")&amp;A7:A42,SMALL(IF(ISNUMBER(L7:L42),IF(L7:L42&gt;0,IF(O7:O42&lt;&gt;"",ROW(L7:L42)-MIN(ROW(L7:L42))+1))),ROW()-ROW(A$45)+1)),",",";")),"")</f>
        <v>0</v>
      </c>
      <c r="Q52">
        <f t="array" ref="Q52">IFERROR(CONCATENATE(TEXT(INDEX(Q7:Q42,SMALL(IF(ISNUMBER(Q7:Q42),IF(Q7:Q42&gt;0,IF(T7:T42&lt;&gt;"",ROW(Q7:Q42)-MIN(ROW(Q7:Q42))+1))),ROW()-ROW(A$45)+1)),"##0"),",",INDEX(T7:T42,SMALL(IF(ISNUMBER(Q7:Q42),IF(Q7:Q42&gt;0,IF(T7:T42&lt;&gt;"",ROW(Q7:Q42)-MIN(ROW(Q7:Q42))+1))),ROW()-ROW(A$45)+1)),",",SUBSTITUTE(INDEX(IF(PURCHASE_DESCRIPTION&lt;&gt;"",PURCHASE_DESCRIPTION&amp;":","")&amp;A7:A42,SMALL(IF(ISNUMBER(Q7:Q42),IF(Q7:Q42&gt;0,IF(T7:T42&lt;&gt;"",ROW(Q7:Q42)-MIN(ROW(Q7:Q42))+1))),ROW()-ROW(A$45)+1)),",",";")),"")</f>
        <v>0</v>
      </c>
      <c r="V52">
        <f t="array" ref="V52">IFERROR(CONCATENATE(INDEX(Y7:Y42,SMALL(IF(ISNUMBER(V7:V42),IF(V7:V42&gt;0,IF(Y7:Y42&lt;&gt;"",ROW(V7:V42)-MIN(ROW(V7:V42))+1))),ROW()-ROW(A$45)+1)),",",TEXT(INDEX(V7:V42,SMALL(IF(ISNUMBER(V7:V42),IF(V7:V42&gt;0,IF(Y7:Y42&lt;&gt;"",ROW(V7:V42)-MIN(ROW(V7:V42))+1))),ROW()-ROW(A$45)+1)),"##0"),",",SUBSTITUTE(SUBSTITUTE(INDEX(IF(PURCHASE_DESCRIPTION&lt;&gt;"",PURCHASE_DESCRIPTION&amp;":","")&amp;A7:A42,SMALL(IF(ISNUMBER(V7:V42),IF(V7:V42&gt;0,IF(Y7:Y42&lt;&gt;"",ROW(V7:V42)-MIN(ROW(V7:V42))+1))),ROW()-ROW(A$45)+1)),",",";"),"
",";"),",",SUBSTITUTE(SUBSTITUTE(INDEX(IF(PURCHASE_DESCRIPTION&lt;&gt;"",PURCHASE_DESCRIPTION&amp;":","")&amp;C7:C42,SMALL(IF(ISNUMBER(V7:V42),IF(V7:V42&gt;0,IF(Y7:Y42&lt;&gt;"",ROW(V7:V42)-MIN(ROW(V7:V42))+1))),ROW()-ROW(A$45)+1)),",",";"),"
",";"),",",SUBSTITUTE(SUBSTITUTE(INDEX(IF(PURCHASE_DESCRIPTION&lt;&gt;"",PURCHASE_DESCRIPTION&amp;":","")&amp;F7:F42,SMALL(IF(ISNUMBER(V7:V42),IF(V7:V42&gt;0,IF(Y7:Y42&lt;&gt;"",ROW(V7:V42)-MIN(ROW(V7:V42))+1))),ROW()-ROW(A$45)+1)),",",";"),"
",";"),",",SUBSTITUTE(SUBSTITUTE(INDEX(IF(PURCHASE_DESCRIPTION&lt;&gt;"",PURCHASE_DESCRIPTION&amp;":","")&amp;D7:D42,SMALL(IF(ISNUMBER(V7:V42),IF(V7:V42&gt;0,IF(Y7:Y42&lt;&gt;"",ROW(V7:V42)-MIN(ROW(V7:V42))+1))),ROW()-ROW(A$45)+1)),",",";"),"
",";")),"")</f>
        <v>0</v>
      </c>
      <c r="AA52">
        <f t="array" ref="AA52">IFERROR(CONCATENATE(TEXT(INDEX(AA7:AA42,SMALL(IF(ISNUMBER(AA7:AA42),IF(AA7:AA42&gt;0,IF(AD7:AD42&lt;&gt;"",ROW(AA7:AA42)-MIN(ROW(AA7:AA42))+1))),ROW()-ROW(A$46)+1)),"##0"),",",SUBSTITUTE(INDEX(IF(PURCHASE_DESCRIPTION&lt;&gt;"",PURCHASE_DESCRIPTION&amp;":","")&amp;A7:A42,SMALL(IF(ISNUMBER(AA7:AA42),IF(AA7:AA42&gt;0,IF(AD7:AD42&lt;&gt;"",ROW(AA7:AA42)-MIN(ROW(AA7:AA42))+1))),ROW()-ROW(A$46)+1)),",",";"),",",SUBSTITUTE(INDEX(IF(PURCHASE_DESCRIPTION&lt;&gt;"",PURCHASE_DESCRIPTION&amp;":","")&amp;E7:E42,SMALL(IF(ISNUMBER(AA7:AA42),IF(AA7:AA42&gt;0,IF(AD7:AD42&lt;&gt;"",ROW(AA7:AA42)-MIN(ROW(AA7:AA42))+1))),ROW()-ROW(A$46)+1)),",",";"),",",INDEX(AD7:AD42,SMALL(IF(ISNUMBER(AA7:AA42),IF(AA7:AA42&gt;0,IF(AD7:AD42&lt;&gt;"",ROW(AA7:AA42)-MIN(ROW(AA7:AA42))+1))),ROW()-ROW(A$46)+1))),"")</f>
        <v>0</v>
      </c>
      <c r="AF52">
        <f t="array" ref="AF52">IFERROR(CONCATENATE(INDEX(AI7:AI42,SMALL(IF(ISNUMBER(AF7:AF42),IF(AF7:AF42&gt;0,IF(AI7:AI42&lt;&gt;"",ROW(AF7:AF42)-MIN(ROW(AF7:AF42))+1))),ROW()-ROW(A$45)+1)),"|",TEXT(INDEX(AF7:AF42,SMALL(IF(ISNUMBER(AF7:AF42),IF(AF7:AF42&gt;0,IF(AI7:AI42&lt;&gt;"",ROW(AF7:AF42)-MIN(ROW(AF7:AF42))+1))),ROW()-ROW(A$45)+1)),"##0"),"|",SUBSTITUTE(SUBSTITUTE(INDEX(IF(PURCHASE_DESCRIPTION&lt;&gt;"",PURCHASE_DESCRIPTION&amp;":","")&amp;A7:A42,SMALL(IF(ISNUMBER(AF7:AF42),IF(AF7:AF42&gt;0,IF(AI7:AI42&lt;&gt;"",ROW(AF7:AF42)-MIN(ROW(AF7:AF42))+1))),ROW()-ROW(A$45)+1)),"|",";")," ","_")),"")</f>
        <v>0</v>
      </c>
      <c r="AK52">
        <f t="array" ref="AK52">IFERROR(CONCATENATE(INDEX(AN7:AN42,SMALL(IF(ISNUMBER(AK7:AK42),IF(AK7:AK42&gt;0,IF(AN7:AN42&lt;&gt;"",ROW(AK7:AK42)-MIN(ROW(AK7:AK42))+1))),ROW()-ROW(A$45)+1)),",",TEXT(INDEX(AK7:AK42,SMALL(IF(ISNUMBER(AK7:AK42),IF(AK7:AK42&gt;0,IF(AN7:AN42&lt;&gt;"",ROW(AK7:AK42)-MIN(ROW(AK7:AK42))+1))),ROW()-ROW(A$45)+1)),"##0"),",",SUBSTITUTE(SUBSTITUTE(INDEX(IF(PURCHASE_DESCRIPTION&lt;&gt;"",PURCHASE_DESCRIPTION&amp;":","")&amp;A7:A42,SMALL(IF(ISNUMBER(AK7:AK42),IF(AK7:AK42&gt;0,IF(AN7:AN42&lt;&gt;"",ROW(AK7:AK42)-MIN(ROW(AK7:AK42))+1))),ROW()-ROW(A$45)+1)),",",";"),"
",";"),",",SUBSTITUTE(SUBSTITUTE(INDEX(IF(PURCHASE_DESCRIPTION&lt;&gt;"",PURCHASE_DESCRIPTION&amp;":","")&amp;C7:C42,SMALL(IF(ISNUMBER(AK7:AK42),IF(AK7:AK42&gt;0,IF(AN7:AN42&lt;&gt;"",ROW(AK7:AK42)-MIN(ROW(AK7:AK42))+1))),ROW()-ROW(A$45)+1)),",",";"),"
",";"),",",SUBSTITUTE(SUBSTITUTE(INDEX(IF(PURCHASE_DESCRIPTION&lt;&gt;"",PURCHASE_DESCRIPTION&amp;":","")&amp;F7:F42,SMALL(IF(ISNUMBER(AK7:AK42),IF(AK7:AK42&gt;0,IF(AN7:AN42&lt;&gt;"",ROW(AK7:AK42)-MIN(ROW(AK7:AK42))+1))),ROW()-ROW(A$45)+1)),",",";"),"
",";"),",",SUBSTITUTE(SUBSTITUTE(INDEX(IF(PURCHASE_DESCRIPTION&lt;&gt;"",PURCHASE_DESCRIPTION&amp;":","")&amp;D7:D42,SMALL(IF(ISNUMBER(AK7:AK42),IF(AK7:AK42&gt;0,IF(AN7:AN42&lt;&gt;"",ROW(AK7:AK42)-MIN(ROW(AK7:AK42))+1))),ROW()-ROW(A$45)+1)),",",";"),"
",";")),"")</f>
        <v>0</v>
      </c>
      <c r="AP52">
        <f t="array" ref="AP52">IFERROR(CONCATENATE(INDEX(AS7:AS42,SMALL(IF(ISNUMBER(AP7:AP42),IF(AP7:AP42&gt;0,IF(AS7:AS42&lt;&gt;"",ROW(AP7:AP42)-MIN(ROW(AP7:AP42))+1))),ROW()-ROW(A$45)+1)),",",TEXT(INDEX(AP7:AP42,SMALL(IF(ISNUMBER(AP7:AP42),IF(AP7:AP42&gt;0,IF(AS7:AS42&lt;&gt;"",ROW(AP7:AP42)-MIN(ROW(AP7:AP42))+1))),ROW()-ROW(A$45)+1)),"##0"),",",,",",,",",,",",INDEX(G7:G42,SMALL(IF(ISNUMBER(AP7:AP42),IF(AP7:AP42&gt;0,IF(AS7:AS42&lt;&gt;"",ROW(AP7:AP42)-MIN(ROW(AP7:AP42))+1))),ROW()-ROW(A$45)+1)),",",SUBSTITUTE(INDEX(IF(PURCHASE_DESCRIPTION&lt;&gt;"",PURCHASE_DESCRIPTION&amp;":","")&amp;A7:A42,SMALL(IF(ISNUMBER(AP7:AP42),IF(AP7:AP42&gt;0,IF(AS7:AS42&lt;&gt;"",ROW(AP7:AP42)-MIN(ROW(AP7:AP42))+1))),ROW()-ROW(A$45)+1)),",",";")),"")</f>
        <v>0</v>
      </c>
      <c r="AU52">
        <f t="array" ref="AU52">IFERROR(CONCATENATE(INDEX(AX7:AX42,SMALL(IF(ISNUMBER(AU7:AU42),IF(AU7:AU42&gt;0,IF(AX7:AX42&lt;&gt;"",ROW(AU7:AU42)-MIN(ROW(AU7:AU42))+1))),ROW()-ROW(A$45)+1))," ",TEXT(INDEX(AU7:AU42,SMALL(IF(ISNUMBER(AU7:AU42),IF(AU7:AU42&gt;0,IF(AX7:AX42&lt;&gt;"",ROW(AU7:AU42)-MIN(ROW(AU7:AU42))+1))),ROW()-ROW(A$45)+1)),"##0")," ",SUBSTITUTE(INDEX(IF(PURCHASE_DESCRIPTION&lt;&gt;"",PURCHASE_DESCRIPTION&amp;":","")&amp;A7:A42,SMALL(IF(ISNUMBER(AU7:AU42),IF(AU7:AU42&gt;0,IF(AX7:AX42&lt;&gt;"",ROW(AU7:AU42)-MIN(ROW(AU7:AU42))+1))),ROW()-ROW(A$45)+1))," ",";")),"")</f>
        <v>0</v>
      </c>
    </row>
    <row r="53" spans="12:47">
      <c r="L53">
        <f t="array" ref="L53">IFERROR(CONCATENATE(INDEX(O7:O42,SMALL(IF(ISNUMBER(L7:L42),IF(L7:L42&gt;0,IF(O7:O42&lt;&gt;"",ROW(L7:L42)-MIN(ROW(L7:L42))+1))),ROW()-ROW(A$45)+1)),",",TEXT(INDEX(L7:L42,SMALL(IF(ISNUMBER(L7:L42),IF(L7:L42&gt;0,IF(O7:O42&lt;&gt;"",ROW(L7:L42)-MIN(ROW(L7:L42))+1))),ROW()-ROW(A$45)+1)),"##0"),",",SUBSTITUTE(INDEX(IF(PURCHASE_DESCRIPTION&lt;&gt;"",PURCHASE_DESCRIPTION&amp;":","")&amp;A7:A42,SMALL(IF(ISNUMBER(L7:L42),IF(L7:L42&gt;0,IF(O7:O42&lt;&gt;"",ROW(L7:L42)-MIN(ROW(L7:L42))+1))),ROW()-ROW(A$45)+1)),",",";")),"")</f>
        <v>0</v>
      </c>
      <c r="Q53">
        <f t="array" ref="Q53">IFERROR(CONCATENATE(TEXT(INDEX(Q7:Q42,SMALL(IF(ISNUMBER(Q7:Q42),IF(Q7:Q42&gt;0,IF(T7:T42&lt;&gt;"",ROW(Q7:Q42)-MIN(ROW(Q7:Q42))+1))),ROW()-ROW(A$45)+1)),"##0"),",",INDEX(T7:T42,SMALL(IF(ISNUMBER(Q7:Q42),IF(Q7:Q42&gt;0,IF(T7:T42&lt;&gt;"",ROW(Q7:Q42)-MIN(ROW(Q7:Q42))+1))),ROW()-ROW(A$45)+1)),",",SUBSTITUTE(INDEX(IF(PURCHASE_DESCRIPTION&lt;&gt;"",PURCHASE_DESCRIPTION&amp;":","")&amp;A7:A42,SMALL(IF(ISNUMBER(Q7:Q42),IF(Q7:Q42&gt;0,IF(T7:T42&lt;&gt;"",ROW(Q7:Q42)-MIN(ROW(Q7:Q42))+1))),ROW()-ROW(A$45)+1)),",",";")),"")</f>
        <v>0</v>
      </c>
      <c r="V53">
        <f t="array" ref="V53">IFERROR(CONCATENATE(INDEX(Y7:Y42,SMALL(IF(ISNUMBER(V7:V42),IF(V7:V42&gt;0,IF(Y7:Y42&lt;&gt;"",ROW(V7:V42)-MIN(ROW(V7:V42))+1))),ROW()-ROW(A$45)+1)),",",TEXT(INDEX(V7:V42,SMALL(IF(ISNUMBER(V7:V42),IF(V7:V42&gt;0,IF(Y7:Y42&lt;&gt;"",ROW(V7:V42)-MIN(ROW(V7:V42))+1))),ROW()-ROW(A$45)+1)),"##0"),",",SUBSTITUTE(SUBSTITUTE(INDEX(IF(PURCHASE_DESCRIPTION&lt;&gt;"",PURCHASE_DESCRIPTION&amp;":","")&amp;A7:A42,SMALL(IF(ISNUMBER(V7:V42),IF(V7:V42&gt;0,IF(Y7:Y42&lt;&gt;"",ROW(V7:V42)-MIN(ROW(V7:V42))+1))),ROW()-ROW(A$45)+1)),",",";"),"
",";"),",",SUBSTITUTE(SUBSTITUTE(INDEX(IF(PURCHASE_DESCRIPTION&lt;&gt;"",PURCHASE_DESCRIPTION&amp;":","")&amp;C7:C42,SMALL(IF(ISNUMBER(V7:V42),IF(V7:V42&gt;0,IF(Y7:Y42&lt;&gt;"",ROW(V7:V42)-MIN(ROW(V7:V42))+1))),ROW()-ROW(A$45)+1)),",",";"),"
",";"),",",SUBSTITUTE(SUBSTITUTE(INDEX(IF(PURCHASE_DESCRIPTION&lt;&gt;"",PURCHASE_DESCRIPTION&amp;":","")&amp;F7:F42,SMALL(IF(ISNUMBER(V7:V42),IF(V7:V42&gt;0,IF(Y7:Y42&lt;&gt;"",ROW(V7:V42)-MIN(ROW(V7:V42))+1))),ROW()-ROW(A$45)+1)),",",";"),"
",";"),",",SUBSTITUTE(SUBSTITUTE(INDEX(IF(PURCHASE_DESCRIPTION&lt;&gt;"",PURCHASE_DESCRIPTION&amp;":","")&amp;D7:D42,SMALL(IF(ISNUMBER(V7:V42),IF(V7:V42&gt;0,IF(Y7:Y42&lt;&gt;"",ROW(V7:V42)-MIN(ROW(V7:V42))+1))),ROW()-ROW(A$45)+1)),",",";"),"
",";")),"")</f>
        <v>0</v>
      </c>
      <c r="AA53">
        <f t="array" ref="AA53">IFERROR(CONCATENATE(TEXT(INDEX(AA7:AA42,SMALL(IF(ISNUMBER(AA7:AA42),IF(AA7:AA42&gt;0,IF(AD7:AD42&lt;&gt;"",ROW(AA7:AA42)-MIN(ROW(AA7:AA42))+1))),ROW()-ROW(A$46)+1)),"##0"),",",SUBSTITUTE(INDEX(IF(PURCHASE_DESCRIPTION&lt;&gt;"",PURCHASE_DESCRIPTION&amp;":","")&amp;A7:A42,SMALL(IF(ISNUMBER(AA7:AA42),IF(AA7:AA42&gt;0,IF(AD7:AD42&lt;&gt;"",ROW(AA7:AA42)-MIN(ROW(AA7:AA42))+1))),ROW()-ROW(A$46)+1)),",",";"),",",SUBSTITUTE(INDEX(IF(PURCHASE_DESCRIPTION&lt;&gt;"",PURCHASE_DESCRIPTION&amp;":","")&amp;E7:E42,SMALL(IF(ISNUMBER(AA7:AA42),IF(AA7:AA42&gt;0,IF(AD7:AD42&lt;&gt;"",ROW(AA7:AA42)-MIN(ROW(AA7:AA42))+1))),ROW()-ROW(A$46)+1)),",",";"),",",INDEX(AD7:AD42,SMALL(IF(ISNUMBER(AA7:AA42),IF(AA7:AA42&gt;0,IF(AD7:AD42&lt;&gt;"",ROW(AA7:AA42)-MIN(ROW(AA7:AA42))+1))),ROW()-ROW(A$46)+1))),"")</f>
        <v>0</v>
      </c>
      <c r="AF53">
        <f t="array" ref="AF53">IFERROR(CONCATENATE(INDEX(AI7:AI42,SMALL(IF(ISNUMBER(AF7:AF42),IF(AF7:AF42&gt;0,IF(AI7:AI42&lt;&gt;"",ROW(AF7:AF42)-MIN(ROW(AF7:AF42))+1))),ROW()-ROW(A$45)+1)),"|",TEXT(INDEX(AF7:AF42,SMALL(IF(ISNUMBER(AF7:AF42),IF(AF7:AF42&gt;0,IF(AI7:AI42&lt;&gt;"",ROW(AF7:AF42)-MIN(ROW(AF7:AF42))+1))),ROW()-ROW(A$45)+1)),"##0"),"|",SUBSTITUTE(SUBSTITUTE(INDEX(IF(PURCHASE_DESCRIPTION&lt;&gt;"",PURCHASE_DESCRIPTION&amp;":","")&amp;A7:A42,SMALL(IF(ISNUMBER(AF7:AF42),IF(AF7:AF42&gt;0,IF(AI7:AI42&lt;&gt;"",ROW(AF7:AF42)-MIN(ROW(AF7:AF42))+1))),ROW()-ROW(A$45)+1)),"|",";")," ","_")),"")</f>
        <v>0</v>
      </c>
      <c r="AK53">
        <f t="array" ref="AK53">IFERROR(CONCATENATE(INDEX(AN7:AN42,SMALL(IF(ISNUMBER(AK7:AK42),IF(AK7:AK42&gt;0,IF(AN7:AN42&lt;&gt;"",ROW(AK7:AK42)-MIN(ROW(AK7:AK42))+1))),ROW()-ROW(A$45)+1)),",",TEXT(INDEX(AK7:AK42,SMALL(IF(ISNUMBER(AK7:AK42),IF(AK7:AK42&gt;0,IF(AN7:AN42&lt;&gt;"",ROW(AK7:AK42)-MIN(ROW(AK7:AK42))+1))),ROW()-ROW(A$45)+1)),"##0"),",",SUBSTITUTE(SUBSTITUTE(INDEX(IF(PURCHASE_DESCRIPTION&lt;&gt;"",PURCHASE_DESCRIPTION&amp;":","")&amp;A7:A42,SMALL(IF(ISNUMBER(AK7:AK42),IF(AK7:AK42&gt;0,IF(AN7:AN42&lt;&gt;"",ROW(AK7:AK42)-MIN(ROW(AK7:AK42))+1))),ROW()-ROW(A$45)+1)),",",";"),"
",";"),",",SUBSTITUTE(SUBSTITUTE(INDEX(IF(PURCHASE_DESCRIPTION&lt;&gt;"",PURCHASE_DESCRIPTION&amp;":","")&amp;C7:C42,SMALL(IF(ISNUMBER(AK7:AK42),IF(AK7:AK42&gt;0,IF(AN7:AN42&lt;&gt;"",ROW(AK7:AK42)-MIN(ROW(AK7:AK42))+1))),ROW()-ROW(A$45)+1)),",",";"),"
",";"),",",SUBSTITUTE(SUBSTITUTE(INDEX(IF(PURCHASE_DESCRIPTION&lt;&gt;"",PURCHASE_DESCRIPTION&amp;":","")&amp;F7:F42,SMALL(IF(ISNUMBER(AK7:AK42),IF(AK7:AK42&gt;0,IF(AN7:AN42&lt;&gt;"",ROW(AK7:AK42)-MIN(ROW(AK7:AK42))+1))),ROW()-ROW(A$45)+1)),",",";"),"
",";"),",",SUBSTITUTE(SUBSTITUTE(INDEX(IF(PURCHASE_DESCRIPTION&lt;&gt;"",PURCHASE_DESCRIPTION&amp;":","")&amp;D7:D42,SMALL(IF(ISNUMBER(AK7:AK42),IF(AK7:AK42&gt;0,IF(AN7:AN42&lt;&gt;"",ROW(AK7:AK42)-MIN(ROW(AK7:AK42))+1))),ROW()-ROW(A$45)+1)),",",";"),"
",";")),"")</f>
        <v>0</v>
      </c>
      <c r="AP53">
        <f t="array" ref="AP53">IFERROR(CONCATENATE(INDEX(AS7:AS42,SMALL(IF(ISNUMBER(AP7:AP42),IF(AP7:AP42&gt;0,IF(AS7:AS42&lt;&gt;"",ROW(AP7:AP42)-MIN(ROW(AP7:AP42))+1))),ROW()-ROW(A$45)+1)),",",TEXT(INDEX(AP7:AP42,SMALL(IF(ISNUMBER(AP7:AP42),IF(AP7:AP42&gt;0,IF(AS7:AS42&lt;&gt;"",ROW(AP7:AP42)-MIN(ROW(AP7:AP42))+1))),ROW()-ROW(A$45)+1)),"##0"),",",,",",,",",,",",INDEX(G7:G42,SMALL(IF(ISNUMBER(AP7:AP42),IF(AP7:AP42&gt;0,IF(AS7:AS42&lt;&gt;"",ROW(AP7:AP42)-MIN(ROW(AP7:AP42))+1))),ROW()-ROW(A$45)+1)),",",SUBSTITUTE(INDEX(IF(PURCHASE_DESCRIPTION&lt;&gt;"",PURCHASE_DESCRIPTION&amp;":","")&amp;A7:A42,SMALL(IF(ISNUMBER(AP7:AP42),IF(AP7:AP42&gt;0,IF(AS7:AS42&lt;&gt;"",ROW(AP7:AP42)-MIN(ROW(AP7:AP42))+1))),ROW()-ROW(A$45)+1)),",",";")),"")</f>
        <v>0</v>
      </c>
      <c r="AU53">
        <f t="array" ref="AU53">IFERROR(CONCATENATE(INDEX(AX7:AX42,SMALL(IF(ISNUMBER(AU7:AU42),IF(AU7:AU42&gt;0,IF(AX7:AX42&lt;&gt;"",ROW(AU7:AU42)-MIN(ROW(AU7:AU42))+1))),ROW()-ROW(A$45)+1))," ",TEXT(INDEX(AU7:AU42,SMALL(IF(ISNUMBER(AU7:AU42),IF(AU7:AU42&gt;0,IF(AX7:AX42&lt;&gt;"",ROW(AU7:AU42)-MIN(ROW(AU7:AU42))+1))),ROW()-ROW(A$45)+1)),"##0")," ",SUBSTITUTE(INDEX(IF(PURCHASE_DESCRIPTION&lt;&gt;"",PURCHASE_DESCRIPTION&amp;":","")&amp;A7:A42,SMALL(IF(ISNUMBER(AU7:AU42),IF(AU7:AU42&gt;0,IF(AX7:AX42&lt;&gt;"",ROW(AU7:AU42)-MIN(ROW(AU7:AU42))+1))),ROW()-ROW(A$45)+1))," ",";")),"")</f>
        <v>0</v>
      </c>
    </row>
    <row r="54" spans="12:47">
      <c r="L54">
        <f t="array" ref="L54">IFERROR(CONCATENATE(INDEX(O7:O42,SMALL(IF(ISNUMBER(L7:L42),IF(L7:L42&gt;0,IF(O7:O42&lt;&gt;"",ROW(L7:L42)-MIN(ROW(L7:L42))+1))),ROW()-ROW(A$45)+1)),",",TEXT(INDEX(L7:L42,SMALL(IF(ISNUMBER(L7:L42),IF(L7:L42&gt;0,IF(O7:O42&lt;&gt;"",ROW(L7:L42)-MIN(ROW(L7:L42))+1))),ROW()-ROW(A$45)+1)),"##0"),",",SUBSTITUTE(INDEX(IF(PURCHASE_DESCRIPTION&lt;&gt;"",PURCHASE_DESCRIPTION&amp;":","")&amp;A7:A42,SMALL(IF(ISNUMBER(L7:L42),IF(L7:L42&gt;0,IF(O7:O42&lt;&gt;"",ROW(L7:L42)-MIN(ROW(L7:L42))+1))),ROW()-ROW(A$45)+1)),",",";")),"")</f>
        <v>0</v>
      </c>
      <c r="Q54">
        <f t="array" ref="Q54">IFERROR(CONCATENATE(TEXT(INDEX(Q7:Q42,SMALL(IF(ISNUMBER(Q7:Q42),IF(Q7:Q42&gt;0,IF(T7:T42&lt;&gt;"",ROW(Q7:Q42)-MIN(ROW(Q7:Q42))+1))),ROW()-ROW(A$45)+1)),"##0"),",",INDEX(T7:T42,SMALL(IF(ISNUMBER(Q7:Q42),IF(Q7:Q42&gt;0,IF(T7:T42&lt;&gt;"",ROW(Q7:Q42)-MIN(ROW(Q7:Q42))+1))),ROW()-ROW(A$45)+1)),",",SUBSTITUTE(INDEX(IF(PURCHASE_DESCRIPTION&lt;&gt;"",PURCHASE_DESCRIPTION&amp;":","")&amp;A7:A42,SMALL(IF(ISNUMBER(Q7:Q42),IF(Q7:Q42&gt;0,IF(T7:T42&lt;&gt;"",ROW(Q7:Q42)-MIN(ROW(Q7:Q42))+1))),ROW()-ROW(A$45)+1)),",",";")),"")</f>
        <v>0</v>
      </c>
      <c r="V54">
        <f t="array" ref="V54">IFERROR(CONCATENATE(INDEX(Y7:Y42,SMALL(IF(ISNUMBER(V7:V42),IF(V7:V42&gt;0,IF(Y7:Y42&lt;&gt;"",ROW(V7:V42)-MIN(ROW(V7:V42))+1))),ROW()-ROW(A$45)+1)),",",TEXT(INDEX(V7:V42,SMALL(IF(ISNUMBER(V7:V42),IF(V7:V42&gt;0,IF(Y7:Y42&lt;&gt;"",ROW(V7:V42)-MIN(ROW(V7:V42))+1))),ROW()-ROW(A$45)+1)),"##0"),",",SUBSTITUTE(SUBSTITUTE(INDEX(IF(PURCHASE_DESCRIPTION&lt;&gt;"",PURCHASE_DESCRIPTION&amp;":","")&amp;A7:A42,SMALL(IF(ISNUMBER(V7:V42),IF(V7:V42&gt;0,IF(Y7:Y42&lt;&gt;"",ROW(V7:V42)-MIN(ROW(V7:V42))+1))),ROW()-ROW(A$45)+1)),",",";"),"
",";"),",",SUBSTITUTE(SUBSTITUTE(INDEX(IF(PURCHASE_DESCRIPTION&lt;&gt;"",PURCHASE_DESCRIPTION&amp;":","")&amp;C7:C42,SMALL(IF(ISNUMBER(V7:V42),IF(V7:V42&gt;0,IF(Y7:Y42&lt;&gt;"",ROW(V7:V42)-MIN(ROW(V7:V42))+1))),ROW()-ROW(A$45)+1)),",",";"),"
",";"),",",SUBSTITUTE(SUBSTITUTE(INDEX(IF(PURCHASE_DESCRIPTION&lt;&gt;"",PURCHASE_DESCRIPTION&amp;":","")&amp;F7:F42,SMALL(IF(ISNUMBER(V7:V42),IF(V7:V42&gt;0,IF(Y7:Y42&lt;&gt;"",ROW(V7:V42)-MIN(ROW(V7:V42))+1))),ROW()-ROW(A$45)+1)),",",";"),"
",";"),",",SUBSTITUTE(SUBSTITUTE(INDEX(IF(PURCHASE_DESCRIPTION&lt;&gt;"",PURCHASE_DESCRIPTION&amp;":","")&amp;D7:D42,SMALL(IF(ISNUMBER(V7:V42),IF(V7:V42&gt;0,IF(Y7:Y42&lt;&gt;"",ROW(V7:V42)-MIN(ROW(V7:V42))+1))),ROW()-ROW(A$45)+1)),",",";"),"
",";")),"")</f>
        <v>0</v>
      </c>
      <c r="AA54">
        <f t="array" ref="AA54">IFERROR(CONCATENATE(TEXT(INDEX(AA7:AA42,SMALL(IF(ISNUMBER(AA7:AA42),IF(AA7:AA42&gt;0,IF(AD7:AD42&lt;&gt;"",ROW(AA7:AA42)-MIN(ROW(AA7:AA42))+1))),ROW()-ROW(A$46)+1)),"##0"),",",SUBSTITUTE(INDEX(IF(PURCHASE_DESCRIPTION&lt;&gt;"",PURCHASE_DESCRIPTION&amp;":","")&amp;A7:A42,SMALL(IF(ISNUMBER(AA7:AA42),IF(AA7:AA42&gt;0,IF(AD7:AD42&lt;&gt;"",ROW(AA7:AA42)-MIN(ROW(AA7:AA42))+1))),ROW()-ROW(A$46)+1)),",",";"),",",SUBSTITUTE(INDEX(IF(PURCHASE_DESCRIPTION&lt;&gt;"",PURCHASE_DESCRIPTION&amp;":","")&amp;E7:E42,SMALL(IF(ISNUMBER(AA7:AA42),IF(AA7:AA42&gt;0,IF(AD7:AD42&lt;&gt;"",ROW(AA7:AA42)-MIN(ROW(AA7:AA42))+1))),ROW()-ROW(A$46)+1)),",",";"),",",INDEX(AD7:AD42,SMALL(IF(ISNUMBER(AA7:AA42),IF(AA7:AA42&gt;0,IF(AD7:AD42&lt;&gt;"",ROW(AA7:AA42)-MIN(ROW(AA7:AA42))+1))),ROW()-ROW(A$46)+1))),"")</f>
        <v>0</v>
      </c>
      <c r="AF54">
        <f t="array" ref="AF54">IFERROR(CONCATENATE(INDEX(AI7:AI42,SMALL(IF(ISNUMBER(AF7:AF42),IF(AF7:AF42&gt;0,IF(AI7:AI42&lt;&gt;"",ROW(AF7:AF42)-MIN(ROW(AF7:AF42))+1))),ROW()-ROW(A$45)+1)),"|",TEXT(INDEX(AF7:AF42,SMALL(IF(ISNUMBER(AF7:AF42),IF(AF7:AF42&gt;0,IF(AI7:AI42&lt;&gt;"",ROW(AF7:AF42)-MIN(ROW(AF7:AF42))+1))),ROW()-ROW(A$45)+1)),"##0"),"|",SUBSTITUTE(SUBSTITUTE(INDEX(IF(PURCHASE_DESCRIPTION&lt;&gt;"",PURCHASE_DESCRIPTION&amp;":","")&amp;A7:A42,SMALL(IF(ISNUMBER(AF7:AF42),IF(AF7:AF42&gt;0,IF(AI7:AI42&lt;&gt;"",ROW(AF7:AF42)-MIN(ROW(AF7:AF42))+1))),ROW()-ROW(A$45)+1)),"|",";")," ","_")),"")</f>
        <v>0</v>
      </c>
      <c r="AK54">
        <f t="array" ref="AK54">IFERROR(CONCATENATE(INDEX(AN7:AN42,SMALL(IF(ISNUMBER(AK7:AK42),IF(AK7:AK42&gt;0,IF(AN7:AN42&lt;&gt;"",ROW(AK7:AK42)-MIN(ROW(AK7:AK42))+1))),ROW()-ROW(A$45)+1)),",",TEXT(INDEX(AK7:AK42,SMALL(IF(ISNUMBER(AK7:AK42),IF(AK7:AK42&gt;0,IF(AN7:AN42&lt;&gt;"",ROW(AK7:AK42)-MIN(ROW(AK7:AK42))+1))),ROW()-ROW(A$45)+1)),"##0"),",",SUBSTITUTE(SUBSTITUTE(INDEX(IF(PURCHASE_DESCRIPTION&lt;&gt;"",PURCHASE_DESCRIPTION&amp;":","")&amp;A7:A42,SMALL(IF(ISNUMBER(AK7:AK42),IF(AK7:AK42&gt;0,IF(AN7:AN42&lt;&gt;"",ROW(AK7:AK42)-MIN(ROW(AK7:AK42))+1))),ROW()-ROW(A$45)+1)),",",";"),"
",";"),",",SUBSTITUTE(SUBSTITUTE(INDEX(IF(PURCHASE_DESCRIPTION&lt;&gt;"",PURCHASE_DESCRIPTION&amp;":","")&amp;C7:C42,SMALL(IF(ISNUMBER(AK7:AK42),IF(AK7:AK42&gt;0,IF(AN7:AN42&lt;&gt;"",ROW(AK7:AK42)-MIN(ROW(AK7:AK42))+1))),ROW()-ROW(A$45)+1)),",",";"),"
",";"),",",SUBSTITUTE(SUBSTITUTE(INDEX(IF(PURCHASE_DESCRIPTION&lt;&gt;"",PURCHASE_DESCRIPTION&amp;":","")&amp;F7:F42,SMALL(IF(ISNUMBER(AK7:AK42),IF(AK7:AK42&gt;0,IF(AN7:AN42&lt;&gt;"",ROW(AK7:AK42)-MIN(ROW(AK7:AK42))+1))),ROW()-ROW(A$45)+1)),",",";"),"
",";"),",",SUBSTITUTE(SUBSTITUTE(INDEX(IF(PURCHASE_DESCRIPTION&lt;&gt;"",PURCHASE_DESCRIPTION&amp;":","")&amp;D7:D42,SMALL(IF(ISNUMBER(AK7:AK42),IF(AK7:AK42&gt;0,IF(AN7:AN42&lt;&gt;"",ROW(AK7:AK42)-MIN(ROW(AK7:AK42))+1))),ROW()-ROW(A$45)+1)),",",";"),"
",";")),"")</f>
        <v>0</v>
      </c>
      <c r="AP54">
        <f t="array" ref="AP54">IFERROR(CONCATENATE(INDEX(AS7:AS42,SMALL(IF(ISNUMBER(AP7:AP42),IF(AP7:AP42&gt;0,IF(AS7:AS42&lt;&gt;"",ROW(AP7:AP42)-MIN(ROW(AP7:AP42))+1))),ROW()-ROW(A$45)+1)),",",TEXT(INDEX(AP7:AP42,SMALL(IF(ISNUMBER(AP7:AP42),IF(AP7:AP42&gt;0,IF(AS7:AS42&lt;&gt;"",ROW(AP7:AP42)-MIN(ROW(AP7:AP42))+1))),ROW()-ROW(A$45)+1)),"##0"),",",,",",,",",,",",INDEX(G7:G42,SMALL(IF(ISNUMBER(AP7:AP42),IF(AP7:AP42&gt;0,IF(AS7:AS42&lt;&gt;"",ROW(AP7:AP42)-MIN(ROW(AP7:AP42))+1))),ROW()-ROW(A$45)+1)),",",SUBSTITUTE(INDEX(IF(PURCHASE_DESCRIPTION&lt;&gt;"",PURCHASE_DESCRIPTION&amp;":","")&amp;A7:A42,SMALL(IF(ISNUMBER(AP7:AP42),IF(AP7:AP42&gt;0,IF(AS7:AS42&lt;&gt;"",ROW(AP7:AP42)-MIN(ROW(AP7:AP42))+1))),ROW()-ROW(A$45)+1)),",",";")),"")</f>
        <v>0</v>
      </c>
      <c r="AU54">
        <f t="array" ref="AU54">IFERROR(CONCATENATE(INDEX(AX7:AX42,SMALL(IF(ISNUMBER(AU7:AU42),IF(AU7:AU42&gt;0,IF(AX7:AX42&lt;&gt;"",ROW(AU7:AU42)-MIN(ROW(AU7:AU42))+1))),ROW()-ROW(A$45)+1))," ",TEXT(INDEX(AU7:AU42,SMALL(IF(ISNUMBER(AU7:AU42),IF(AU7:AU42&gt;0,IF(AX7:AX42&lt;&gt;"",ROW(AU7:AU42)-MIN(ROW(AU7:AU42))+1))),ROW()-ROW(A$45)+1)),"##0")," ",SUBSTITUTE(INDEX(IF(PURCHASE_DESCRIPTION&lt;&gt;"",PURCHASE_DESCRIPTION&amp;":","")&amp;A7:A42,SMALL(IF(ISNUMBER(AU7:AU42),IF(AU7:AU42&gt;0,IF(AX7:AX42&lt;&gt;"",ROW(AU7:AU42)-MIN(ROW(AU7:AU42))+1))),ROW()-ROW(A$45)+1))," ",";")),"")</f>
        <v>0</v>
      </c>
    </row>
    <row r="55" spans="12:47">
      <c r="L55">
        <f t="array" ref="L55">IFERROR(CONCATENATE(INDEX(O7:O42,SMALL(IF(ISNUMBER(L7:L42),IF(L7:L42&gt;0,IF(O7:O42&lt;&gt;"",ROW(L7:L42)-MIN(ROW(L7:L42))+1))),ROW()-ROW(A$45)+1)),",",TEXT(INDEX(L7:L42,SMALL(IF(ISNUMBER(L7:L42),IF(L7:L42&gt;0,IF(O7:O42&lt;&gt;"",ROW(L7:L42)-MIN(ROW(L7:L42))+1))),ROW()-ROW(A$45)+1)),"##0"),",",SUBSTITUTE(INDEX(IF(PURCHASE_DESCRIPTION&lt;&gt;"",PURCHASE_DESCRIPTION&amp;":","")&amp;A7:A42,SMALL(IF(ISNUMBER(L7:L42),IF(L7:L42&gt;0,IF(O7:O42&lt;&gt;"",ROW(L7:L42)-MIN(ROW(L7:L42))+1))),ROW()-ROW(A$45)+1)),",",";")),"")</f>
        <v>0</v>
      </c>
      <c r="Q55">
        <f t="array" ref="Q55">IFERROR(CONCATENATE(TEXT(INDEX(Q7:Q42,SMALL(IF(ISNUMBER(Q7:Q42),IF(Q7:Q42&gt;0,IF(T7:T42&lt;&gt;"",ROW(Q7:Q42)-MIN(ROW(Q7:Q42))+1))),ROW()-ROW(A$45)+1)),"##0"),",",INDEX(T7:T42,SMALL(IF(ISNUMBER(Q7:Q42),IF(Q7:Q42&gt;0,IF(T7:T42&lt;&gt;"",ROW(Q7:Q42)-MIN(ROW(Q7:Q42))+1))),ROW()-ROW(A$45)+1)),",",SUBSTITUTE(INDEX(IF(PURCHASE_DESCRIPTION&lt;&gt;"",PURCHASE_DESCRIPTION&amp;":","")&amp;A7:A42,SMALL(IF(ISNUMBER(Q7:Q42),IF(Q7:Q42&gt;0,IF(T7:T42&lt;&gt;"",ROW(Q7:Q42)-MIN(ROW(Q7:Q42))+1))),ROW()-ROW(A$45)+1)),",",";")),"")</f>
        <v>0</v>
      </c>
      <c r="V55">
        <f t="array" ref="V55">IFERROR(CONCATENATE(INDEX(Y7:Y42,SMALL(IF(ISNUMBER(V7:V42),IF(V7:V42&gt;0,IF(Y7:Y42&lt;&gt;"",ROW(V7:V42)-MIN(ROW(V7:V42))+1))),ROW()-ROW(A$45)+1)),",",TEXT(INDEX(V7:V42,SMALL(IF(ISNUMBER(V7:V42),IF(V7:V42&gt;0,IF(Y7:Y42&lt;&gt;"",ROW(V7:V42)-MIN(ROW(V7:V42))+1))),ROW()-ROW(A$45)+1)),"##0"),",",SUBSTITUTE(SUBSTITUTE(INDEX(IF(PURCHASE_DESCRIPTION&lt;&gt;"",PURCHASE_DESCRIPTION&amp;":","")&amp;A7:A42,SMALL(IF(ISNUMBER(V7:V42),IF(V7:V42&gt;0,IF(Y7:Y42&lt;&gt;"",ROW(V7:V42)-MIN(ROW(V7:V42))+1))),ROW()-ROW(A$45)+1)),",",";"),"
",";"),",",SUBSTITUTE(SUBSTITUTE(INDEX(IF(PURCHASE_DESCRIPTION&lt;&gt;"",PURCHASE_DESCRIPTION&amp;":","")&amp;C7:C42,SMALL(IF(ISNUMBER(V7:V42),IF(V7:V42&gt;0,IF(Y7:Y42&lt;&gt;"",ROW(V7:V42)-MIN(ROW(V7:V42))+1))),ROW()-ROW(A$45)+1)),",",";"),"
",";"),",",SUBSTITUTE(SUBSTITUTE(INDEX(IF(PURCHASE_DESCRIPTION&lt;&gt;"",PURCHASE_DESCRIPTION&amp;":","")&amp;F7:F42,SMALL(IF(ISNUMBER(V7:V42),IF(V7:V42&gt;0,IF(Y7:Y42&lt;&gt;"",ROW(V7:V42)-MIN(ROW(V7:V42))+1))),ROW()-ROW(A$45)+1)),",",";"),"
",";"),",",SUBSTITUTE(SUBSTITUTE(INDEX(IF(PURCHASE_DESCRIPTION&lt;&gt;"",PURCHASE_DESCRIPTION&amp;":","")&amp;D7:D42,SMALL(IF(ISNUMBER(V7:V42),IF(V7:V42&gt;0,IF(Y7:Y42&lt;&gt;"",ROW(V7:V42)-MIN(ROW(V7:V42))+1))),ROW()-ROW(A$45)+1)),",",";"),"
",";")),"")</f>
        <v>0</v>
      </c>
      <c r="AA55">
        <f t="array" ref="AA55">IFERROR(CONCATENATE(TEXT(INDEX(AA7:AA42,SMALL(IF(ISNUMBER(AA7:AA42),IF(AA7:AA42&gt;0,IF(AD7:AD42&lt;&gt;"",ROW(AA7:AA42)-MIN(ROW(AA7:AA42))+1))),ROW()-ROW(A$46)+1)),"##0"),",",SUBSTITUTE(INDEX(IF(PURCHASE_DESCRIPTION&lt;&gt;"",PURCHASE_DESCRIPTION&amp;":","")&amp;A7:A42,SMALL(IF(ISNUMBER(AA7:AA42),IF(AA7:AA42&gt;0,IF(AD7:AD42&lt;&gt;"",ROW(AA7:AA42)-MIN(ROW(AA7:AA42))+1))),ROW()-ROW(A$46)+1)),",",";"),",",SUBSTITUTE(INDEX(IF(PURCHASE_DESCRIPTION&lt;&gt;"",PURCHASE_DESCRIPTION&amp;":","")&amp;E7:E42,SMALL(IF(ISNUMBER(AA7:AA42),IF(AA7:AA42&gt;0,IF(AD7:AD42&lt;&gt;"",ROW(AA7:AA42)-MIN(ROW(AA7:AA42))+1))),ROW()-ROW(A$46)+1)),",",";"),",",INDEX(AD7:AD42,SMALL(IF(ISNUMBER(AA7:AA42),IF(AA7:AA42&gt;0,IF(AD7:AD42&lt;&gt;"",ROW(AA7:AA42)-MIN(ROW(AA7:AA42))+1))),ROW()-ROW(A$46)+1))),"")</f>
        <v>0</v>
      </c>
      <c r="AF55">
        <f t="array" ref="AF55">IFERROR(CONCATENATE(INDEX(AI7:AI42,SMALL(IF(ISNUMBER(AF7:AF42),IF(AF7:AF42&gt;0,IF(AI7:AI42&lt;&gt;"",ROW(AF7:AF42)-MIN(ROW(AF7:AF42))+1))),ROW()-ROW(A$45)+1)),"|",TEXT(INDEX(AF7:AF42,SMALL(IF(ISNUMBER(AF7:AF42),IF(AF7:AF42&gt;0,IF(AI7:AI42&lt;&gt;"",ROW(AF7:AF42)-MIN(ROW(AF7:AF42))+1))),ROW()-ROW(A$45)+1)),"##0"),"|",SUBSTITUTE(SUBSTITUTE(INDEX(IF(PURCHASE_DESCRIPTION&lt;&gt;"",PURCHASE_DESCRIPTION&amp;":","")&amp;A7:A42,SMALL(IF(ISNUMBER(AF7:AF42),IF(AF7:AF42&gt;0,IF(AI7:AI42&lt;&gt;"",ROW(AF7:AF42)-MIN(ROW(AF7:AF42))+1))),ROW()-ROW(A$45)+1)),"|",";")," ","_")),"")</f>
        <v>0</v>
      </c>
      <c r="AK55">
        <f t="array" ref="AK55">IFERROR(CONCATENATE(INDEX(AN7:AN42,SMALL(IF(ISNUMBER(AK7:AK42),IF(AK7:AK42&gt;0,IF(AN7:AN42&lt;&gt;"",ROW(AK7:AK42)-MIN(ROW(AK7:AK42))+1))),ROW()-ROW(A$45)+1)),",",TEXT(INDEX(AK7:AK42,SMALL(IF(ISNUMBER(AK7:AK42),IF(AK7:AK42&gt;0,IF(AN7:AN42&lt;&gt;"",ROW(AK7:AK42)-MIN(ROW(AK7:AK42))+1))),ROW()-ROW(A$45)+1)),"##0"),",",SUBSTITUTE(SUBSTITUTE(INDEX(IF(PURCHASE_DESCRIPTION&lt;&gt;"",PURCHASE_DESCRIPTION&amp;":","")&amp;A7:A42,SMALL(IF(ISNUMBER(AK7:AK42),IF(AK7:AK42&gt;0,IF(AN7:AN42&lt;&gt;"",ROW(AK7:AK42)-MIN(ROW(AK7:AK42))+1))),ROW()-ROW(A$45)+1)),",",";"),"
",";"),",",SUBSTITUTE(SUBSTITUTE(INDEX(IF(PURCHASE_DESCRIPTION&lt;&gt;"",PURCHASE_DESCRIPTION&amp;":","")&amp;C7:C42,SMALL(IF(ISNUMBER(AK7:AK42),IF(AK7:AK42&gt;0,IF(AN7:AN42&lt;&gt;"",ROW(AK7:AK42)-MIN(ROW(AK7:AK42))+1))),ROW()-ROW(A$45)+1)),",",";"),"
",";"),",",SUBSTITUTE(SUBSTITUTE(INDEX(IF(PURCHASE_DESCRIPTION&lt;&gt;"",PURCHASE_DESCRIPTION&amp;":","")&amp;F7:F42,SMALL(IF(ISNUMBER(AK7:AK42),IF(AK7:AK42&gt;0,IF(AN7:AN42&lt;&gt;"",ROW(AK7:AK42)-MIN(ROW(AK7:AK42))+1))),ROW()-ROW(A$45)+1)),",",";"),"
",";"),",",SUBSTITUTE(SUBSTITUTE(INDEX(IF(PURCHASE_DESCRIPTION&lt;&gt;"",PURCHASE_DESCRIPTION&amp;":","")&amp;D7:D42,SMALL(IF(ISNUMBER(AK7:AK42),IF(AK7:AK42&gt;0,IF(AN7:AN42&lt;&gt;"",ROW(AK7:AK42)-MIN(ROW(AK7:AK42))+1))),ROW()-ROW(A$45)+1)),",",";"),"
",";")),"")</f>
        <v>0</v>
      </c>
      <c r="AP55">
        <f t="array" ref="AP55">IFERROR(CONCATENATE(INDEX(AS7:AS42,SMALL(IF(ISNUMBER(AP7:AP42),IF(AP7:AP42&gt;0,IF(AS7:AS42&lt;&gt;"",ROW(AP7:AP42)-MIN(ROW(AP7:AP42))+1))),ROW()-ROW(A$45)+1)),",",TEXT(INDEX(AP7:AP42,SMALL(IF(ISNUMBER(AP7:AP42),IF(AP7:AP42&gt;0,IF(AS7:AS42&lt;&gt;"",ROW(AP7:AP42)-MIN(ROW(AP7:AP42))+1))),ROW()-ROW(A$45)+1)),"##0"),",",,",",,",",,",",INDEX(G7:G42,SMALL(IF(ISNUMBER(AP7:AP42),IF(AP7:AP42&gt;0,IF(AS7:AS42&lt;&gt;"",ROW(AP7:AP42)-MIN(ROW(AP7:AP42))+1))),ROW()-ROW(A$45)+1)),",",SUBSTITUTE(INDEX(IF(PURCHASE_DESCRIPTION&lt;&gt;"",PURCHASE_DESCRIPTION&amp;":","")&amp;A7:A42,SMALL(IF(ISNUMBER(AP7:AP42),IF(AP7:AP42&gt;0,IF(AS7:AS42&lt;&gt;"",ROW(AP7:AP42)-MIN(ROW(AP7:AP42))+1))),ROW()-ROW(A$45)+1)),",",";")),"")</f>
        <v>0</v>
      </c>
      <c r="AU55">
        <f t="array" ref="AU55">IFERROR(CONCATENATE(INDEX(AX7:AX42,SMALL(IF(ISNUMBER(AU7:AU42),IF(AU7:AU42&gt;0,IF(AX7:AX42&lt;&gt;"",ROW(AU7:AU42)-MIN(ROW(AU7:AU42))+1))),ROW()-ROW(A$45)+1))," ",TEXT(INDEX(AU7:AU42,SMALL(IF(ISNUMBER(AU7:AU42),IF(AU7:AU42&gt;0,IF(AX7:AX42&lt;&gt;"",ROW(AU7:AU42)-MIN(ROW(AU7:AU42))+1))),ROW()-ROW(A$45)+1)),"##0")," ",SUBSTITUTE(INDEX(IF(PURCHASE_DESCRIPTION&lt;&gt;"",PURCHASE_DESCRIPTION&amp;":","")&amp;A7:A42,SMALL(IF(ISNUMBER(AU7:AU42),IF(AU7:AU42&gt;0,IF(AX7:AX42&lt;&gt;"",ROW(AU7:AU42)-MIN(ROW(AU7:AU42))+1))),ROW()-ROW(A$45)+1))," ",";")),"")</f>
        <v>0</v>
      </c>
    </row>
    <row r="56" spans="12:47">
      <c r="L56">
        <f t="array" ref="L56">IFERROR(CONCATENATE(INDEX(O7:O42,SMALL(IF(ISNUMBER(L7:L42),IF(L7:L42&gt;0,IF(O7:O42&lt;&gt;"",ROW(L7:L42)-MIN(ROW(L7:L42))+1))),ROW()-ROW(A$45)+1)),",",TEXT(INDEX(L7:L42,SMALL(IF(ISNUMBER(L7:L42),IF(L7:L42&gt;0,IF(O7:O42&lt;&gt;"",ROW(L7:L42)-MIN(ROW(L7:L42))+1))),ROW()-ROW(A$45)+1)),"##0"),",",SUBSTITUTE(INDEX(IF(PURCHASE_DESCRIPTION&lt;&gt;"",PURCHASE_DESCRIPTION&amp;":","")&amp;A7:A42,SMALL(IF(ISNUMBER(L7:L42),IF(L7:L42&gt;0,IF(O7:O42&lt;&gt;"",ROW(L7:L42)-MIN(ROW(L7:L42))+1))),ROW()-ROW(A$45)+1)),",",";")),"")</f>
        <v>0</v>
      </c>
      <c r="Q56">
        <f t="array" ref="Q56">IFERROR(CONCATENATE(TEXT(INDEX(Q7:Q42,SMALL(IF(ISNUMBER(Q7:Q42),IF(Q7:Q42&gt;0,IF(T7:T42&lt;&gt;"",ROW(Q7:Q42)-MIN(ROW(Q7:Q42))+1))),ROW()-ROW(A$45)+1)),"##0"),",",INDEX(T7:T42,SMALL(IF(ISNUMBER(Q7:Q42),IF(Q7:Q42&gt;0,IF(T7:T42&lt;&gt;"",ROW(Q7:Q42)-MIN(ROW(Q7:Q42))+1))),ROW()-ROW(A$45)+1)),",",SUBSTITUTE(INDEX(IF(PURCHASE_DESCRIPTION&lt;&gt;"",PURCHASE_DESCRIPTION&amp;":","")&amp;A7:A42,SMALL(IF(ISNUMBER(Q7:Q42),IF(Q7:Q42&gt;0,IF(T7:T42&lt;&gt;"",ROW(Q7:Q42)-MIN(ROW(Q7:Q42))+1))),ROW()-ROW(A$45)+1)),",",";")),"")</f>
        <v>0</v>
      </c>
      <c r="V56">
        <f t="array" ref="V56">IFERROR(CONCATENATE(INDEX(Y7:Y42,SMALL(IF(ISNUMBER(V7:V42),IF(V7:V42&gt;0,IF(Y7:Y42&lt;&gt;"",ROW(V7:V42)-MIN(ROW(V7:V42))+1))),ROW()-ROW(A$45)+1)),",",TEXT(INDEX(V7:V42,SMALL(IF(ISNUMBER(V7:V42),IF(V7:V42&gt;0,IF(Y7:Y42&lt;&gt;"",ROW(V7:V42)-MIN(ROW(V7:V42))+1))),ROW()-ROW(A$45)+1)),"##0"),",",SUBSTITUTE(SUBSTITUTE(INDEX(IF(PURCHASE_DESCRIPTION&lt;&gt;"",PURCHASE_DESCRIPTION&amp;":","")&amp;A7:A42,SMALL(IF(ISNUMBER(V7:V42),IF(V7:V42&gt;0,IF(Y7:Y42&lt;&gt;"",ROW(V7:V42)-MIN(ROW(V7:V42))+1))),ROW()-ROW(A$45)+1)),",",";"),"
",";"),",",SUBSTITUTE(SUBSTITUTE(INDEX(IF(PURCHASE_DESCRIPTION&lt;&gt;"",PURCHASE_DESCRIPTION&amp;":","")&amp;C7:C42,SMALL(IF(ISNUMBER(V7:V42),IF(V7:V42&gt;0,IF(Y7:Y42&lt;&gt;"",ROW(V7:V42)-MIN(ROW(V7:V42))+1))),ROW()-ROW(A$45)+1)),",",";"),"
",";"),",",SUBSTITUTE(SUBSTITUTE(INDEX(IF(PURCHASE_DESCRIPTION&lt;&gt;"",PURCHASE_DESCRIPTION&amp;":","")&amp;F7:F42,SMALL(IF(ISNUMBER(V7:V42),IF(V7:V42&gt;0,IF(Y7:Y42&lt;&gt;"",ROW(V7:V42)-MIN(ROW(V7:V42))+1))),ROW()-ROW(A$45)+1)),",",";"),"
",";"),",",SUBSTITUTE(SUBSTITUTE(INDEX(IF(PURCHASE_DESCRIPTION&lt;&gt;"",PURCHASE_DESCRIPTION&amp;":","")&amp;D7:D42,SMALL(IF(ISNUMBER(V7:V42),IF(V7:V42&gt;0,IF(Y7:Y42&lt;&gt;"",ROW(V7:V42)-MIN(ROW(V7:V42))+1))),ROW()-ROW(A$45)+1)),",",";"),"
",";")),"")</f>
        <v>0</v>
      </c>
      <c r="AA56">
        <f t="array" ref="AA56">IFERROR(CONCATENATE(TEXT(INDEX(AA7:AA42,SMALL(IF(ISNUMBER(AA7:AA42),IF(AA7:AA42&gt;0,IF(AD7:AD42&lt;&gt;"",ROW(AA7:AA42)-MIN(ROW(AA7:AA42))+1))),ROW()-ROW(A$46)+1)),"##0"),",",SUBSTITUTE(INDEX(IF(PURCHASE_DESCRIPTION&lt;&gt;"",PURCHASE_DESCRIPTION&amp;":","")&amp;A7:A42,SMALL(IF(ISNUMBER(AA7:AA42),IF(AA7:AA42&gt;0,IF(AD7:AD42&lt;&gt;"",ROW(AA7:AA42)-MIN(ROW(AA7:AA42))+1))),ROW()-ROW(A$46)+1)),",",";"),",",SUBSTITUTE(INDEX(IF(PURCHASE_DESCRIPTION&lt;&gt;"",PURCHASE_DESCRIPTION&amp;":","")&amp;E7:E42,SMALL(IF(ISNUMBER(AA7:AA42),IF(AA7:AA42&gt;0,IF(AD7:AD42&lt;&gt;"",ROW(AA7:AA42)-MIN(ROW(AA7:AA42))+1))),ROW()-ROW(A$46)+1)),",",";"),",",INDEX(AD7:AD42,SMALL(IF(ISNUMBER(AA7:AA42),IF(AA7:AA42&gt;0,IF(AD7:AD42&lt;&gt;"",ROW(AA7:AA42)-MIN(ROW(AA7:AA42))+1))),ROW()-ROW(A$46)+1))),"")</f>
        <v>0</v>
      </c>
      <c r="AF56">
        <f t="array" ref="AF56">IFERROR(CONCATENATE(INDEX(AI7:AI42,SMALL(IF(ISNUMBER(AF7:AF42),IF(AF7:AF42&gt;0,IF(AI7:AI42&lt;&gt;"",ROW(AF7:AF42)-MIN(ROW(AF7:AF42))+1))),ROW()-ROW(A$45)+1)),"|",TEXT(INDEX(AF7:AF42,SMALL(IF(ISNUMBER(AF7:AF42),IF(AF7:AF42&gt;0,IF(AI7:AI42&lt;&gt;"",ROW(AF7:AF42)-MIN(ROW(AF7:AF42))+1))),ROW()-ROW(A$45)+1)),"##0"),"|",SUBSTITUTE(SUBSTITUTE(INDEX(IF(PURCHASE_DESCRIPTION&lt;&gt;"",PURCHASE_DESCRIPTION&amp;":","")&amp;A7:A42,SMALL(IF(ISNUMBER(AF7:AF42),IF(AF7:AF42&gt;0,IF(AI7:AI42&lt;&gt;"",ROW(AF7:AF42)-MIN(ROW(AF7:AF42))+1))),ROW()-ROW(A$45)+1)),"|",";")," ","_")),"")</f>
        <v>0</v>
      </c>
      <c r="AK56">
        <f t="array" ref="AK56">IFERROR(CONCATENATE(INDEX(AN7:AN42,SMALL(IF(ISNUMBER(AK7:AK42),IF(AK7:AK42&gt;0,IF(AN7:AN42&lt;&gt;"",ROW(AK7:AK42)-MIN(ROW(AK7:AK42))+1))),ROW()-ROW(A$45)+1)),",",TEXT(INDEX(AK7:AK42,SMALL(IF(ISNUMBER(AK7:AK42),IF(AK7:AK42&gt;0,IF(AN7:AN42&lt;&gt;"",ROW(AK7:AK42)-MIN(ROW(AK7:AK42))+1))),ROW()-ROW(A$45)+1)),"##0"),",",SUBSTITUTE(SUBSTITUTE(INDEX(IF(PURCHASE_DESCRIPTION&lt;&gt;"",PURCHASE_DESCRIPTION&amp;":","")&amp;A7:A42,SMALL(IF(ISNUMBER(AK7:AK42),IF(AK7:AK42&gt;0,IF(AN7:AN42&lt;&gt;"",ROW(AK7:AK42)-MIN(ROW(AK7:AK42))+1))),ROW()-ROW(A$45)+1)),",",";"),"
",";"),",",SUBSTITUTE(SUBSTITUTE(INDEX(IF(PURCHASE_DESCRIPTION&lt;&gt;"",PURCHASE_DESCRIPTION&amp;":","")&amp;C7:C42,SMALL(IF(ISNUMBER(AK7:AK42),IF(AK7:AK42&gt;0,IF(AN7:AN42&lt;&gt;"",ROW(AK7:AK42)-MIN(ROW(AK7:AK42))+1))),ROW()-ROW(A$45)+1)),",",";"),"
",";"),",",SUBSTITUTE(SUBSTITUTE(INDEX(IF(PURCHASE_DESCRIPTION&lt;&gt;"",PURCHASE_DESCRIPTION&amp;":","")&amp;F7:F42,SMALL(IF(ISNUMBER(AK7:AK42),IF(AK7:AK42&gt;0,IF(AN7:AN42&lt;&gt;"",ROW(AK7:AK42)-MIN(ROW(AK7:AK42))+1))),ROW()-ROW(A$45)+1)),",",";"),"
",";"),",",SUBSTITUTE(SUBSTITUTE(INDEX(IF(PURCHASE_DESCRIPTION&lt;&gt;"",PURCHASE_DESCRIPTION&amp;":","")&amp;D7:D42,SMALL(IF(ISNUMBER(AK7:AK42),IF(AK7:AK42&gt;0,IF(AN7:AN42&lt;&gt;"",ROW(AK7:AK42)-MIN(ROW(AK7:AK42))+1))),ROW()-ROW(A$45)+1)),",",";"),"
",";")),"")</f>
        <v>0</v>
      </c>
      <c r="AP56">
        <f t="array" ref="AP56">IFERROR(CONCATENATE(INDEX(AS7:AS42,SMALL(IF(ISNUMBER(AP7:AP42),IF(AP7:AP42&gt;0,IF(AS7:AS42&lt;&gt;"",ROW(AP7:AP42)-MIN(ROW(AP7:AP42))+1))),ROW()-ROW(A$45)+1)),",",TEXT(INDEX(AP7:AP42,SMALL(IF(ISNUMBER(AP7:AP42),IF(AP7:AP42&gt;0,IF(AS7:AS42&lt;&gt;"",ROW(AP7:AP42)-MIN(ROW(AP7:AP42))+1))),ROW()-ROW(A$45)+1)),"##0"),",",,",",,",",,",",INDEX(G7:G42,SMALL(IF(ISNUMBER(AP7:AP42),IF(AP7:AP42&gt;0,IF(AS7:AS42&lt;&gt;"",ROW(AP7:AP42)-MIN(ROW(AP7:AP42))+1))),ROW()-ROW(A$45)+1)),",",SUBSTITUTE(INDEX(IF(PURCHASE_DESCRIPTION&lt;&gt;"",PURCHASE_DESCRIPTION&amp;":","")&amp;A7:A42,SMALL(IF(ISNUMBER(AP7:AP42),IF(AP7:AP42&gt;0,IF(AS7:AS42&lt;&gt;"",ROW(AP7:AP42)-MIN(ROW(AP7:AP42))+1))),ROW()-ROW(A$45)+1)),",",";")),"")</f>
        <v>0</v>
      </c>
      <c r="AU56">
        <f t="array" ref="AU56">IFERROR(CONCATENATE(INDEX(AX7:AX42,SMALL(IF(ISNUMBER(AU7:AU42),IF(AU7:AU42&gt;0,IF(AX7:AX42&lt;&gt;"",ROW(AU7:AU42)-MIN(ROW(AU7:AU42))+1))),ROW()-ROW(A$45)+1))," ",TEXT(INDEX(AU7:AU42,SMALL(IF(ISNUMBER(AU7:AU42),IF(AU7:AU42&gt;0,IF(AX7:AX42&lt;&gt;"",ROW(AU7:AU42)-MIN(ROW(AU7:AU42))+1))),ROW()-ROW(A$45)+1)),"##0")," ",SUBSTITUTE(INDEX(IF(PURCHASE_DESCRIPTION&lt;&gt;"",PURCHASE_DESCRIPTION&amp;":","")&amp;A7:A42,SMALL(IF(ISNUMBER(AU7:AU42),IF(AU7:AU42&gt;0,IF(AX7:AX42&lt;&gt;"",ROW(AU7:AU42)-MIN(ROW(AU7:AU42))+1))),ROW()-ROW(A$45)+1))," ",";")),"")</f>
        <v>0</v>
      </c>
    </row>
    <row r="57" spans="12:47">
      <c r="L57">
        <f t="array" ref="L57">IFERROR(CONCATENATE(INDEX(O7:O42,SMALL(IF(ISNUMBER(L7:L42),IF(L7:L42&gt;0,IF(O7:O42&lt;&gt;"",ROW(L7:L42)-MIN(ROW(L7:L42))+1))),ROW()-ROW(A$45)+1)),",",TEXT(INDEX(L7:L42,SMALL(IF(ISNUMBER(L7:L42),IF(L7:L42&gt;0,IF(O7:O42&lt;&gt;"",ROW(L7:L42)-MIN(ROW(L7:L42))+1))),ROW()-ROW(A$45)+1)),"##0"),",",SUBSTITUTE(INDEX(IF(PURCHASE_DESCRIPTION&lt;&gt;"",PURCHASE_DESCRIPTION&amp;":","")&amp;A7:A42,SMALL(IF(ISNUMBER(L7:L42),IF(L7:L42&gt;0,IF(O7:O42&lt;&gt;"",ROW(L7:L42)-MIN(ROW(L7:L42))+1))),ROW()-ROW(A$45)+1)),",",";")),"")</f>
        <v>0</v>
      </c>
      <c r="Q57">
        <f t="array" ref="Q57">IFERROR(CONCATENATE(TEXT(INDEX(Q7:Q42,SMALL(IF(ISNUMBER(Q7:Q42),IF(Q7:Q42&gt;0,IF(T7:T42&lt;&gt;"",ROW(Q7:Q42)-MIN(ROW(Q7:Q42))+1))),ROW()-ROW(A$45)+1)),"##0"),",",INDEX(T7:T42,SMALL(IF(ISNUMBER(Q7:Q42),IF(Q7:Q42&gt;0,IF(T7:T42&lt;&gt;"",ROW(Q7:Q42)-MIN(ROW(Q7:Q42))+1))),ROW()-ROW(A$45)+1)),",",SUBSTITUTE(INDEX(IF(PURCHASE_DESCRIPTION&lt;&gt;"",PURCHASE_DESCRIPTION&amp;":","")&amp;A7:A42,SMALL(IF(ISNUMBER(Q7:Q42),IF(Q7:Q42&gt;0,IF(T7:T42&lt;&gt;"",ROW(Q7:Q42)-MIN(ROW(Q7:Q42))+1))),ROW()-ROW(A$45)+1)),",",";")),"")</f>
        <v>0</v>
      </c>
      <c r="V57">
        <f t="array" ref="V57">IFERROR(CONCATENATE(INDEX(Y7:Y42,SMALL(IF(ISNUMBER(V7:V42),IF(V7:V42&gt;0,IF(Y7:Y42&lt;&gt;"",ROW(V7:V42)-MIN(ROW(V7:V42))+1))),ROW()-ROW(A$45)+1)),",",TEXT(INDEX(V7:V42,SMALL(IF(ISNUMBER(V7:V42),IF(V7:V42&gt;0,IF(Y7:Y42&lt;&gt;"",ROW(V7:V42)-MIN(ROW(V7:V42))+1))),ROW()-ROW(A$45)+1)),"##0"),",",SUBSTITUTE(SUBSTITUTE(INDEX(IF(PURCHASE_DESCRIPTION&lt;&gt;"",PURCHASE_DESCRIPTION&amp;":","")&amp;A7:A42,SMALL(IF(ISNUMBER(V7:V42),IF(V7:V42&gt;0,IF(Y7:Y42&lt;&gt;"",ROW(V7:V42)-MIN(ROW(V7:V42))+1))),ROW()-ROW(A$45)+1)),",",";"),"
",";"),",",SUBSTITUTE(SUBSTITUTE(INDEX(IF(PURCHASE_DESCRIPTION&lt;&gt;"",PURCHASE_DESCRIPTION&amp;":","")&amp;C7:C42,SMALL(IF(ISNUMBER(V7:V42),IF(V7:V42&gt;0,IF(Y7:Y42&lt;&gt;"",ROW(V7:V42)-MIN(ROW(V7:V42))+1))),ROW()-ROW(A$45)+1)),",",";"),"
",";"),",",SUBSTITUTE(SUBSTITUTE(INDEX(IF(PURCHASE_DESCRIPTION&lt;&gt;"",PURCHASE_DESCRIPTION&amp;":","")&amp;F7:F42,SMALL(IF(ISNUMBER(V7:V42),IF(V7:V42&gt;0,IF(Y7:Y42&lt;&gt;"",ROW(V7:V42)-MIN(ROW(V7:V42))+1))),ROW()-ROW(A$45)+1)),",",";"),"
",";"),",",SUBSTITUTE(SUBSTITUTE(INDEX(IF(PURCHASE_DESCRIPTION&lt;&gt;"",PURCHASE_DESCRIPTION&amp;":","")&amp;D7:D42,SMALL(IF(ISNUMBER(V7:V42),IF(V7:V42&gt;0,IF(Y7:Y42&lt;&gt;"",ROW(V7:V42)-MIN(ROW(V7:V42))+1))),ROW()-ROW(A$45)+1)),",",";"),"
",";")),"")</f>
        <v>0</v>
      </c>
      <c r="AA57">
        <f t="array" ref="AA57">IFERROR(CONCATENATE(TEXT(INDEX(AA7:AA42,SMALL(IF(ISNUMBER(AA7:AA42),IF(AA7:AA42&gt;0,IF(AD7:AD42&lt;&gt;"",ROW(AA7:AA42)-MIN(ROW(AA7:AA42))+1))),ROW()-ROW(A$46)+1)),"##0"),",",SUBSTITUTE(INDEX(IF(PURCHASE_DESCRIPTION&lt;&gt;"",PURCHASE_DESCRIPTION&amp;":","")&amp;A7:A42,SMALL(IF(ISNUMBER(AA7:AA42),IF(AA7:AA42&gt;0,IF(AD7:AD42&lt;&gt;"",ROW(AA7:AA42)-MIN(ROW(AA7:AA42))+1))),ROW()-ROW(A$46)+1)),",",";"),",",SUBSTITUTE(INDEX(IF(PURCHASE_DESCRIPTION&lt;&gt;"",PURCHASE_DESCRIPTION&amp;":","")&amp;E7:E42,SMALL(IF(ISNUMBER(AA7:AA42),IF(AA7:AA42&gt;0,IF(AD7:AD42&lt;&gt;"",ROW(AA7:AA42)-MIN(ROW(AA7:AA42))+1))),ROW()-ROW(A$46)+1)),",",";"),",",INDEX(AD7:AD42,SMALL(IF(ISNUMBER(AA7:AA42),IF(AA7:AA42&gt;0,IF(AD7:AD42&lt;&gt;"",ROW(AA7:AA42)-MIN(ROW(AA7:AA42))+1))),ROW()-ROW(A$46)+1))),"")</f>
        <v>0</v>
      </c>
      <c r="AF57">
        <f t="array" ref="AF57">IFERROR(CONCATENATE(INDEX(AI7:AI42,SMALL(IF(ISNUMBER(AF7:AF42),IF(AF7:AF42&gt;0,IF(AI7:AI42&lt;&gt;"",ROW(AF7:AF42)-MIN(ROW(AF7:AF42))+1))),ROW()-ROW(A$45)+1)),"|",TEXT(INDEX(AF7:AF42,SMALL(IF(ISNUMBER(AF7:AF42),IF(AF7:AF42&gt;0,IF(AI7:AI42&lt;&gt;"",ROW(AF7:AF42)-MIN(ROW(AF7:AF42))+1))),ROW()-ROW(A$45)+1)),"##0"),"|",SUBSTITUTE(SUBSTITUTE(INDEX(IF(PURCHASE_DESCRIPTION&lt;&gt;"",PURCHASE_DESCRIPTION&amp;":","")&amp;A7:A42,SMALL(IF(ISNUMBER(AF7:AF42),IF(AF7:AF42&gt;0,IF(AI7:AI42&lt;&gt;"",ROW(AF7:AF42)-MIN(ROW(AF7:AF42))+1))),ROW()-ROW(A$45)+1)),"|",";")," ","_")),"")</f>
        <v>0</v>
      </c>
      <c r="AK57">
        <f t="array" ref="AK57">IFERROR(CONCATENATE(INDEX(AN7:AN42,SMALL(IF(ISNUMBER(AK7:AK42),IF(AK7:AK42&gt;0,IF(AN7:AN42&lt;&gt;"",ROW(AK7:AK42)-MIN(ROW(AK7:AK42))+1))),ROW()-ROW(A$45)+1)),",",TEXT(INDEX(AK7:AK42,SMALL(IF(ISNUMBER(AK7:AK42),IF(AK7:AK42&gt;0,IF(AN7:AN42&lt;&gt;"",ROW(AK7:AK42)-MIN(ROW(AK7:AK42))+1))),ROW()-ROW(A$45)+1)),"##0"),",",SUBSTITUTE(SUBSTITUTE(INDEX(IF(PURCHASE_DESCRIPTION&lt;&gt;"",PURCHASE_DESCRIPTION&amp;":","")&amp;A7:A42,SMALL(IF(ISNUMBER(AK7:AK42),IF(AK7:AK42&gt;0,IF(AN7:AN42&lt;&gt;"",ROW(AK7:AK42)-MIN(ROW(AK7:AK42))+1))),ROW()-ROW(A$45)+1)),",",";"),"
",";"),",",SUBSTITUTE(SUBSTITUTE(INDEX(IF(PURCHASE_DESCRIPTION&lt;&gt;"",PURCHASE_DESCRIPTION&amp;":","")&amp;C7:C42,SMALL(IF(ISNUMBER(AK7:AK42),IF(AK7:AK42&gt;0,IF(AN7:AN42&lt;&gt;"",ROW(AK7:AK42)-MIN(ROW(AK7:AK42))+1))),ROW()-ROW(A$45)+1)),",",";"),"
",";"),",",SUBSTITUTE(SUBSTITUTE(INDEX(IF(PURCHASE_DESCRIPTION&lt;&gt;"",PURCHASE_DESCRIPTION&amp;":","")&amp;F7:F42,SMALL(IF(ISNUMBER(AK7:AK42),IF(AK7:AK42&gt;0,IF(AN7:AN42&lt;&gt;"",ROW(AK7:AK42)-MIN(ROW(AK7:AK42))+1))),ROW()-ROW(A$45)+1)),",",";"),"
",";"),",",SUBSTITUTE(SUBSTITUTE(INDEX(IF(PURCHASE_DESCRIPTION&lt;&gt;"",PURCHASE_DESCRIPTION&amp;":","")&amp;D7:D42,SMALL(IF(ISNUMBER(AK7:AK42),IF(AK7:AK42&gt;0,IF(AN7:AN42&lt;&gt;"",ROW(AK7:AK42)-MIN(ROW(AK7:AK42))+1))),ROW()-ROW(A$45)+1)),",",";"),"
",";")),"")</f>
        <v>0</v>
      </c>
      <c r="AP57">
        <f t="array" ref="AP57">IFERROR(CONCATENATE(INDEX(AS7:AS42,SMALL(IF(ISNUMBER(AP7:AP42),IF(AP7:AP42&gt;0,IF(AS7:AS42&lt;&gt;"",ROW(AP7:AP42)-MIN(ROW(AP7:AP42))+1))),ROW()-ROW(A$45)+1)),",",TEXT(INDEX(AP7:AP42,SMALL(IF(ISNUMBER(AP7:AP42),IF(AP7:AP42&gt;0,IF(AS7:AS42&lt;&gt;"",ROW(AP7:AP42)-MIN(ROW(AP7:AP42))+1))),ROW()-ROW(A$45)+1)),"##0"),",",,",",,",",,",",INDEX(G7:G42,SMALL(IF(ISNUMBER(AP7:AP42),IF(AP7:AP42&gt;0,IF(AS7:AS42&lt;&gt;"",ROW(AP7:AP42)-MIN(ROW(AP7:AP42))+1))),ROW()-ROW(A$45)+1)),",",SUBSTITUTE(INDEX(IF(PURCHASE_DESCRIPTION&lt;&gt;"",PURCHASE_DESCRIPTION&amp;":","")&amp;A7:A42,SMALL(IF(ISNUMBER(AP7:AP42),IF(AP7:AP42&gt;0,IF(AS7:AS42&lt;&gt;"",ROW(AP7:AP42)-MIN(ROW(AP7:AP42))+1))),ROW()-ROW(A$45)+1)),",",";")),"")</f>
        <v>0</v>
      </c>
      <c r="AU57">
        <f t="array" ref="AU57">IFERROR(CONCATENATE(INDEX(AX7:AX42,SMALL(IF(ISNUMBER(AU7:AU42),IF(AU7:AU42&gt;0,IF(AX7:AX42&lt;&gt;"",ROW(AU7:AU42)-MIN(ROW(AU7:AU42))+1))),ROW()-ROW(A$45)+1))," ",TEXT(INDEX(AU7:AU42,SMALL(IF(ISNUMBER(AU7:AU42),IF(AU7:AU42&gt;0,IF(AX7:AX42&lt;&gt;"",ROW(AU7:AU42)-MIN(ROW(AU7:AU42))+1))),ROW()-ROW(A$45)+1)),"##0")," ",SUBSTITUTE(INDEX(IF(PURCHASE_DESCRIPTION&lt;&gt;"",PURCHASE_DESCRIPTION&amp;":","")&amp;A7:A42,SMALL(IF(ISNUMBER(AU7:AU42),IF(AU7:AU42&gt;0,IF(AX7:AX42&lt;&gt;"",ROW(AU7:AU42)-MIN(ROW(AU7:AU42))+1))),ROW()-ROW(A$45)+1))," ",";")),"")</f>
        <v>0</v>
      </c>
    </row>
    <row r="58" spans="12:47">
      <c r="L58">
        <f t="array" ref="L58">IFERROR(CONCATENATE(INDEX(O7:O42,SMALL(IF(ISNUMBER(L7:L42),IF(L7:L42&gt;0,IF(O7:O42&lt;&gt;"",ROW(L7:L42)-MIN(ROW(L7:L42))+1))),ROW()-ROW(A$45)+1)),",",TEXT(INDEX(L7:L42,SMALL(IF(ISNUMBER(L7:L42),IF(L7:L42&gt;0,IF(O7:O42&lt;&gt;"",ROW(L7:L42)-MIN(ROW(L7:L42))+1))),ROW()-ROW(A$45)+1)),"##0"),",",SUBSTITUTE(INDEX(IF(PURCHASE_DESCRIPTION&lt;&gt;"",PURCHASE_DESCRIPTION&amp;":","")&amp;A7:A42,SMALL(IF(ISNUMBER(L7:L42),IF(L7:L42&gt;0,IF(O7:O42&lt;&gt;"",ROW(L7:L42)-MIN(ROW(L7:L42))+1))),ROW()-ROW(A$45)+1)),",",";")),"")</f>
        <v>0</v>
      </c>
      <c r="Q58">
        <f t="array" ref="Q58">IFERROR(CONCATENATE(TEXT(INDEX(Q7:Q42,SMALL(IF(ISNUMBER(Q7:Q42),IF(Q7:Q42&gt;0,IF(T7:T42&lt;&gt;"",ROW(Q7:Q42)-MIN(ROW(Q7:Q42))+1))),ROW()-ROW(A$45)+1)),"##0"),",",INDEX(T7:T42,SMALL(IF(ISNUMBER(Q7:Q42),IF(Q7:Q42&gt;0,IF(T7:T42&lt;&gt;"",ROW(Q7:Q42)-MIN(ROW(Q7:Q42))+1))),ROW()-ROW(A$45)+1)),",",SUBSTITUTE(INDEX(IF(PURCHASE_DESCRIPTION&lt;&gt;"",PURCHASE_DESCRIPTION&amp;":","")&amp;A7:A42,SMALL(IF(ISNUMBER(Q7:Q42),IF(Q7:Q42&gt;0,IF(T7:T42&lt;&gt;"",ROW(Q7:Q42)-MIN(ROW(Q7:Q42))+1))),ROW()-ROW(A$45)+1)),",",";")),"")</f>
        <v>0</v>
      </c>
      <c r="V58">
        <f t="array" ref="V58">IFERROR(CONCATENATE(INDEX(Y7:Y42,SMALL(IF(ISNUMBER(V7:V42),IF(V7:V42&gt;0,IF(Y7:Y42&lt;&gt;"",ROW(V7:V42)-MIN(ROW(V7:V42))+1))),ROW()-ROW(A$45)+1)),",",TEXT(INDEX(V7:V42,SMALL(IF(ISNUMBER(V7:V42),IF(V7:V42&gt;0,IF(Y7:Y42&lt;&gt;"",ROW(V7:V42)-MIN(ROW(V7:V42))+1))),ROW()-ROW(A$45)+1)),"##0"),",",SUBSTITUTE(SUBSTITUTE(INDEX(IF(PURCHASE_DESCRIPTION&lt;&gt;"",PURCHASE_DESCRIPTION&amp;":","")&amp;A7:A42,SMALL(IF(ISNUMBER(V7:V42),IF(V7:V42&gt;0,IF(Y7:Y42&lt;&gt;"",ROW(V7:V42)-MIN(ROW(V7:V42))+1))),ROW()-ROW(A$45)+1)),",",";"),"
",";"),",",SUBSTITUTE(SUBSTITUTE(INDEX(IF(PURCHASE_DESCRIPTION&lt;&gt;"",PURCHASE_DESCRIPTION&amp;":","")&amp;C7:C42,SMALL(IF(ISNUMBER(V7:V42),IF(V7:V42&gt;0,IF(Y7:Y42&lt;&gt;"",ROW(V7:V42)-MIN(ROW(V7:V42))+1))),ROW()-ROW(A$45)+1)),",",";"),"
",";"),",",SUBSTITUTE(SUBSTITUTE(INDEX(IF(PURCHASE_DESCRIPTION&lt;&gt;"",PURCHASE_DESCRIPTION&amp;":","")&amp;F7:F42,SMALL(IF(ISNUMBER(V7:V42),IF(V7:V42&gt;0,IF(Y7:Y42&lt;&gt;"",ROW(V7:V42)-MIN(ROW(V7:V42))+1))),ROW()-ROW(A$45)+1)),",",";"),"
",";"),",",SUBSTITUTE(SUBSTITUTE(INDEX(IF(PURCHASE_DESCRIPTION&lt;&gt;"",PURCHASE_DESCRIPTION&amp;":","")&amp;D7:D42,SMALL(IF(ISNUMBER(V7:V42),IF(V7:V42&gt;0,IF(Y7:Y42&lt;&gt;"",ROW(V7:V42)-MIN(ROW(V7:V42))+1))),ROW()-ROW(A$45)+1)),",",";"),"
",";")),"")</f>
        <v>0</v>
      </c>
      <c r="AA58">
        <f t="array" ref="AA58">IFERROR(CONCATENATE(TEXT(INDEX(AA7:AA42,SMALL(IF(ISNUMBER(AA7:AA42),IF(AA7:AA42&gt;0,IF(AD7:AD42&lt;&gt;"",ROW(AA7:AA42)-MIN(ROW(AA7:AA42))+1))),ROW()-ROW(A$46)+1)),"##0"),",",SUBSTITUTE(INDEX(IF(PURCHASE_DESCRIPTION&lt;&gt;"",PURCHASE_DESCRIPTION&amp;":","")&amp;A7:A42,SMALL(IF(ISNUMBER(AA7:AA42),IF(AA7:AA42&gt;0,IF(AD7:AD42&lt;&gt;"",ROW(AA7:AA42)-MIN(ROW(AA7:AA42))+1))),ROW()-ROW(A$46)+1)),",",";"),",",SUBSTITUTE(INDEX(IF(PURCHASE_DESCRIPTION&lt;&gt;"",PURCHASE_DESCRIPTION&amp;":","")&amp;E7:E42,SMALL(IF(ISNUMBER(AA7:AA42),IF(AA7:AA42&gt;0,IF(AD7:AD42&lt;&gt;"",ROW(AA7:AA42)-MIN(ROW(AA7:AA42))+1))),ROW()-ROW(A$46)+1)),",",";"),",",INDEX(AD7:AD42,SMALL(IF(ISNUMBER(AA7:AA42),IF(AA7:AA42&gt;0,IF(AD7:AD42&lt;&gt;"",ROW(AA7:AA42)-MIN(ROW(AA7:AA42))+1))),ROW()-ROW(A$46)+1))),"")</f>
        <v>0</v>
      </c>
      <c r="AF58">
        <f t="array" ref="AF58">IFERROR(CONCATENATE(INDEX(AI7:AI42,SMALL(IF(ISNUMBER(AF7:AF42),IF(AF7:AF42&gt;0,IF(AI7:AI42&lt;&gt;"",ROW(AF7:AF42)-MIN(ROW(AF7:AF42))+1))),ROW()-ROW(A$45)+1)),"|",TEXT(INDEX(AF7:AF42,SMALL(IF(ISNUMBER(AF7:AF42),IF(AF7:AF42&gt;0,IF(AI7:AI42&lt;&gt;"",ROW(AF7:AF42)-MIN(ROW(AF7:AF42))+1))),ROW()-ROW(A$45)+1)),"##0"),"|",SUBSTITUTE(SUBSTITUTE(INDEX(IF(PURCHASE_DESCRIPTION&lt;&gt;"",PURCHASE_DESCRIPTION&amp;":","")&amp;A7:A42,SMALL(IF(ISNUMBER(AF7:AF42),IF(AF7:AF42&gt;0,IF(AI7:AI42&lt;&gt;"",ROW(AF7:AF42)-MIN(ROW(AF7:AF42))+1))),ROW()-ROW(A$45)+1)),"|",";")," ","_")),"")</f>
        <v>0</v>
      </c>
      <c r="AK58">
        <f t="array" ref="AK58">IFERROR(CONCATENATE(INDEX(AN7:AN42,SMALL(IF(ISNUMBER(AK7:AK42),IF(AK7:AK42&gt;0,IF(AN7:AN42&lt;&gt;"",ROW(AK7:AK42)-MIN(ROW(AK7:AK42))+1))),ROW()-ROW(A$45)+1)),",",TEXT(INDEX(AK7:AK42,SMALL(IF(ISNUMBER(AK7:AK42),IF(AK7:AK42&gt;0,IF(AN7:AN42&lt;&gt;"",ROW(AK7:AK42)-MIN(ROW(AK7:AK42))+1))),ROW()-ROW(A$45)+1)),"##0"),",",SUBSTITUTE(SUBSTITUTE(INDEX(IF(PURCHASE_DESCRIPTION&lt;&gt;"",PURCHASE_DESCRIPTION&amp;":","")&amp;A7:A42,SMALL(IF(ISNUMBER(AK7:AK42),IF(AK7:AK42&gt;0,IF(AN7:AN42&lt;&gt;"",ROW(AK7:AK42)-MIN(ROW(AK7:AK42))+1))),ROW()-ROW(A$45)+1)),",",";"),"
",";"),",",SUBSTITUTE(SUBSTITUTE(INDEX(IF(PURCHASE_DESCRIPTION&lt;&gt;"",PURCHASE_DESCRIPTION&amp;":","")&amp;C7:C42,SMALL(IF(ISNUMBER(AK7:AK42),IF(AK7:AK42&gt;0,IF(AN7:AN42&lt;&gt;"",ROW(AK7:AK42)-MIN(ROW(AK7:AK42))+1))),ROW()-ROW(A$45)+1)),",",";"),"
",";"),",",SUBSTITUTE(SUBSTITUTE(INDEX(IF(PURCHASE_DESCRIPTION&lt;&gt;"",PURCHASE_DESCRIPTION&amp;":","")&amp;F7:F42,SMALL(IF(ISNUMBER(AK7:AK42),IF(AK7:AK42&gt;0,IF(AN7:AN42&lt;&gt;"",ROW(AK7:AK42)-MIN(ROW(AK7:AK42))+1))),ROW()-ROW(A$45)+1)),",",";"),"
",";"),",",SUBSTITUTE(SUBSTITUTE(INDEX(IF(PURCHASE_DESCRIPTION&lt;&gt;"",PURCHASE_DESCRIPTION&amp;":","")&amp;D7:D42,SMALL(IF(ISNUMBER(AK7:AK42),IF(AK7:AK42&gt;0,IF(AN7:AN42&lt;&gt;"",ROW(AK7:AK42)-MIN(ROW(AK7:AK42))+1))),ROW()-ROW(A$45)+1)),",",";"),"
",";")),"")</f>
        <v>0</v>
      </c>
      <c r="AP58">
        <f t="array" ref="AP58">IFERROR(CONCATENATE(INDEX(AS7:AS42,SMALL(IF(ISNUMBER(AP7:AP42),IF(AP7:AP42&gt;0,IF(AS7:AS42&lt;&gt;"",ROW(AP7:AP42)-MIN(ROW(AP7:AP42))+1))),ROW()-ROW(A$45)+1)),",",TEXT(INDEX(AP7:AP42,SMALL(IF(ISNUMBER(AP7:AP42),IF(AP7:AP42&gt;0,IF(AS7:AS42&lt;&gt;"",ROW(AP7:AP42)-MIN(ROW(AP7:AP42))+1))),ROW()-ROW(A$45)+1)),"##0"),",",,",",,",",,",",INDEX(G7:G42,SMALL(IF(ISNUMBER(AP7:AP42),IF(AP7:AP42&gt;0,IF(AS7:AS42&lt;&gt;"",ROW(AP7:AP42)-MIN(ROW(AP7:AP42))+1))),ROW()-ROW(A$45)+1)),",",SUBSTITUTE(INDEX(IF(PURCHASE_DESCRIPTION&lt;&gt;"",PURCHASE_DESCRIPTION&amp;":","")&amp;A7:A42,SMALL(IF(ISNUMBER(AP7:AP42),IF(AP7:AP42&gt;0,IF(AS7:AS42&lt;&gt;"",ROW(AP7:AP42)-MIN(ROW(AP7:AP42))+1))),ROW()-ROW(A$45)+1)),",",";")),"")</f>
        <v>0</v>
      </c>
      <c r="AU58">
        <f t="array" ref="AU58">IFERROR(CONCATENATE(INDEX(AX7:AX42,SMALL(IF(ISNUMBER(AU7:AU42),IF(AU7:AU42&gt;0,IF(AX7:AX42&lt;&gt;"",ROW(AU7:AU42)-MIN(ROW(AU7:AU42))+1))),ROW()-ROW(A$45)+1))," ",TEXT(INDEX(AU7:AU42,SMALL(IF(ISNUMBER(AU7:AU42),IF(AU7:AU42&gt;0,IF(AX7:AX42&lt;&gt;"",ROW(AU7:AU42)-MIN(ROW(AU7:AU42))+1))),ROW()-ROW(A$45)+1)),"##0")," ",SUBSTITUTE(INDEX(IF(PURCHASE_DESCRIPTION&lt;&gt;"",PURCHASE_DESCRIPTION&amp;":","")&amp;A7:A42,SMALL(IF(ISNUMBER(AU7:AU42),IF(AU7:AU42&gt;0,IF(AX7:AX42&lt;&gt;"",ROW(AU7:AU42)-MIN(ROW(AU7:AU42))+1))),ROW()-ROW(A$45)+1))," ",";")),"")</f>
        <v>0</v>
      </c>
    </row>
    <row r="59" spans="12:47">
      <c r="L59">
        <f t="array" ref="L59">IFERROR(CONCATENATE(INDEX(O7:O42,SMALL(IF(ISNUMBER(L7:L42),IF(L7:L42&gt;0,IF(O7:O42&lt;&gt;"",ROW(L7:L42)-MIN(ROW(L7:L42))+1))),ROW()-ROW(A$45)+1)),",",TEXT(INDEX(L7:L42,SMALL(IF(ISNUMBER(L7:L42),IF(L7:L42&gt;0,IF(O7:O42&lt;&gt;"",ROW(L7:L42)-MIN(ROW(L7:L42))+1))),ROW()-ROW(A$45)+1)),"##0"),",",SUBSTITUTE(INDEX(IF(PURCHASE_DESCRIPTION&lt;&gt;"",PURCHASE_DESCRIPTION&amp;":","")&amp;A7:A42,SMALL(IF(ISNUMBER(L7:L42),IF(L7:L42&gt;0,IF(O7:O42&lt;&gt;"",ROW(L7:L42)-MIN(ROW(L7:L42))+1))),ROW()-ROW(A$45)+1)),",",";")),"")</f>
        <v>0</v>
      </c>
      <c r="Q59">
        <f t="array" ref="Q59">IFERROR(CONCATENATE(TEXT(INDEX(Q7:Q42,SMALL(IF(ISNUMBER(Q7:Q42),IF(Q7:Q42&gt;0,IF(T7:T42&lt;&gt;"",ROW(Q7:Q42)-MIN(ROW(Q7:Q42))+1))),ROW()-ROW(A$45)+1)),"##0"),",",INDEX(T7:T42,SMALL(IF(ISNUMBER(Q7:Q42),IF(Q7:Q42&gt;0,IF(T7:T42&lt;&gt;"",ROW(Q7:Q42)-MIN(ROW(Q7:Q42))+1))),ROW()-ROW(A$45)+1)),",",SUBSTITUTE(INDEX(IF(PURCHASE_DESCRIPTION&lt;&gt;"",PURCHASE_DESCRIPTION&amp;":","")&amp;A7:A42,SMALL(IF(ISNUMBER(Q7:Q42),IF(Q7:Q42&gt;0,IF(T7:T42&lt;&gt;"",ROW(Q7:Q42)-MIN(ROW(Q7:Q42))+1))),ROW()-ROW(A$45)+1)),",",";")),"")</f>
        <v>0</v>
      </c>
      <c r="V59">
        <f t="array" ref="V59">IFERROR(CONCATENATE(INDEX(Y7:Y42,SMALL(IF(ISNUMBER(V7:V42),IF(V7:V42&gt;0,IF(Y7:Y42&lt;&gt;"",ROW(V7:V42)-MIN(ROW(V7:V42))+1))),ROW()-ROW(A$45)+1)),",",TEXT(INDEX(V7:V42,SMALL(IF(ISNUMBER(V7:V42),IF(V7:V42&gt;0,IF(Y7:Y42&lt;&gt;"",ROW(V7:V42)-MIN(ROW(V7:V42))+1))),ROW()-ROW(A$45)+1)),"##0"),",",SUBSTITUTE(SUBSTITUTE(INDEX(IF(PURCHASE_DESCRIPTION&lt;&gt;"",PURCHASE_DESCRIPTION&amp;":","")&amp;A7:A42,SMALL(IF(ISNUMBER(V7:V42),IF(V7:V42&gt;0,IF(Y7:Y42&lt;&gt;"",ROW(V7:V42)-MIN(ROW(V7:V42))+1))),ROW()-ROW(A$45)+1)),",",";"),"
",";"),",",SUBSTITUTE(SUBSTITUTE(INDEX(IF(PURCHASE_DESCRIPTION&lt;&gt;"",PURCHASE_DESCRIPTION&amp;":","")&amp;C7:C42,SMALL(IF(ISNUMBER(V7:V42),IF(V7:V42&gt;0,IF(Y7:Y42&lt;&gt;"",ROW(V7:V42)-MIN(ROW(V7:V42))+1))),ROW()-ROW(A$45)+1)),",",";"),"
",";"),",",SUBSTITUTE(SUBSTITUTE(INDEX(IF(PURCHASE_DESCRIPTION&lt;&gt;"",PURCHASE_DESCRIPTION&amp;":","")&amp;F7:F42,SMALL(IF(ISNUMBER(V7:V42),IF(V7:V42&gt;0,IF(Y7:Y42&lt;&gt;"",ROW(V7:V42)-MIN(ROW(V7:V42))+1))),ROW()-ROW(A$45)+1)),",",";"),"
",";"),",",SUBSTITUTE(SUBSTITUTE(INDEX(IF(PURCHASE_DESCRIPTION&lt;&gt;"",PURCHASE_DESCRIPTION&amp;":","")&amp;D7:D42,SMALL(IF(ISNUMBER(V7:V42),IF(V7:V42&gt;0,IF(Y7:Y42&lt;&gt;"",ROW(V7:V42)-MIN(ROW(V7:V42))+1))),ROW()-ROW(A$45)+1)),",",";"),"
",";")),"")</f>
        <v>0</v>
      </c>
      <c r="AA59">
        <f t="array" ref="AA59">IFERROR(CONCATENATE(TEXT(INDEX(AA7:AA42,SMALL(IF(ISNUMBER(AA7:AA42),IF(AA7:AA42&gt;0,IF(AD7:AD42&lt;&gt;"",ROW(AA7:AA42)-MIN(ROW(AA7:AA42))+1))),ROW()-ROW(A$46)+1)),"##0"),",",SUBSTITUTE(INDEX(IF(PURCHASE_DESCRIPTION&lt;&gt;"",PURCHASE_DESCRIPTION&amp;":","")&amp;A7:A42,SMALL(IF(ISNUMBER(AA7:AA42),IF(AA7:AA42&gt;0,IF(AD7:AD42&lt;&gt;"",ROW(AA7:AA42)-MIN(ROW(AA7:AA42))+1))),ROW()-ROW(A$46)+1)),",",";"),",",SUBSTITUTE(INDEX(IF(PURCHASE_DESCRIPTION&lt;&gt;"",PURCHASE_DESCRIPTION&amp;":","")&amp;E7:E42,SMALL(IF(ISNUMBER(AA7:AA42),IF(AA7:AA42&gt;0,IF(AD7:AD42&lt;&gt;"",ROW(AA7:AA42)-MIN(ROW(AA7:AA42))+1))),ROW()-ROW(A$46)+1)),",",";"),",",INDEX(AD7:AD42,SMALL(IF(ISNUMBER(AA7:AA42),IF(AA7:AA42&gt;0,IF(AD7:AD42&lt;&gt;"",ROW(AA7:AA42)-MIN(ROW(AA7:AA42))+1))),ROW()-ROW(A$46)+1))),"")</f>
        <v>0</v>
      </c>
      <c r="AF59">
        <f t="array" ref="AF59">IFERROR(CONCATENATE(INDEX(AI7:AI42,SMALL(IF(ISNUMBER(AF7:AF42),IF(AF7:AF42&gt;0,IF(AI7:AI42&lt;&gt;"",ROW(AF7:AF42)-MIN(ROW(AF7:AF42))+1))),ROW()-ROW(A$45)+1)),"|",TEXT(INDEX(AF7:AF42,SMALL(IF(ISNUMBER(AF7:AF42),IF(AF7:AF42&gt;0,IF(AI7:AI42&lt;&gt;"",ROW(AF7:AF42)-MIN(ROW(AF7:AF42))+1))),ROW()-ROW(A$45)+1)),"##0"),"|",SUBSTITUTE(SUBSTITUTE(INDEX(IF(PURCHASE_DESCRIPTION&lt;&gt;"",PURCHASE_DESCRIPTION&amp;":","")&amp;A7:A42,SMALL(IF(ISNUMBER(AF7:AF42),IF(AF7:AF42&gt;0,IF(AI7:AI42&lt;&gt;"",ROW(AF7:AF42)-MIN(ROW(AF7:AF42))+1))),ROW()-ROW(A$45)+1)),"|",";")," ","_")),"")</f>
        <v>0</v>
      </c>
      <c r="AK59">
        <f t="array" ref="AK59">IFERROR(CONCATENATE(INDEX(AN7:AN42,SMALL(IF(ISNUMBER(AK7:AK42),IF(AK7:AK42&gt;0,IF(AN7:AN42&lt;&gt;"",ROW(AK7:AK42)-MIN(ROW(AK7:AK42))+1))),ROW()-ROW(A$45)+1)),",",TEXT(INDEX(AK7:AK42,SMALL(IF(ISNUMBER(AK7:AK42),IF(AK7:AK42&gt;0,IF(AN7:AN42&lt;&gt;"",ROW(AK7:AK42)-MIN(ROW(AK7:AK42))+1))),ROW()-ROW(A$45)+1)),"##0"),",",SUBSTITUTE(SUBSTITUTE(INDEX(IF(PURCHASE_DESCRIPTION&lt;&gt;"",PURCHASE_DESCRIPTION&amp;":","")&amp;A7:A42,SMALL(IF(ISNUMBER(AK7:AK42),IF(AK7:AK42&gt;0,IF(AN7:AN42&lt;&gt;"",ROW(AK7:AK42)-MIN(ROW(AK7:AK42))+1))),ROW()-ROW(A$45)+1)),",",";"),"
",";"),",",SUBSTITUTE(SUBSTITUTE(INDEX(IF(PURCHASE_DESCRIPTION&lt;&gt;"",PURCHASE_DESCRIPTION&amp;":","")&amp;C7:C42,SMALL(IF(ISNUMBER(AK7:AK42),IF(AK7:AK42&gt;0,IF(AN7:AN42&lt;&gt;"",ROW(AK7:AK42)-MIN(ROW(AK7:AK42))+1))),ROW()-ROW(A$45)+1)),",",";"),"
",";"),",",SUBSTITUTE(SUBSTITUTE(INDEX(IF(PURCHASE_DESCRIPTION&lt;&gt;"",PURCHASE_DESCRIPTION&amp;":","")&amp;F7:F42,SMALL(IF(ISNUMBER(AK7:AK42),IF(AK7:AK42&gt;0,IF(AN7:AN42&lt;&gt;"",ROW(AK7:AK42)-MIN(ROW(AK7:AK42))+1))),ROW()-ROW(A$45)+1)),",",";"),"
",";"),",",SUBSTITUTE(SUBSTITUTE(INDEX(IF(PURCHASE_DESCRIPTION&lt;&gt;"",PURCHASE_DESCRIPTION&amp;":","")&amp;D7:D42,SMALL(IF(ISNUMBER(AK7:AK42),IF(AK7:AK42&gt;0,IF(AN7:AN42&lt;&gt;"",ROW(AK7:AK42)-MIN(ROW(AK7:AK42))+1))),ROW()-ROW(A$45)+1)),",",";"),"
",";")),"")</f>
        <v>0</v>
      </c>
      <c r="AP59">
        <f t="array" ref="AP59">IFERROR(CONCATENATE(INDEX(AS7:AS42,SMALL(IF(ISNUMBER(AP7:AP42),IF(AP7:AP42&gt;0,IF(AS7:AS42&lt;&gt;"",ROW(AP7:AP42)-MIN(ROW(AP7:AP42))+1))),ROW()-ROW(A$45)+1)),",",TEXT(INDEX(AP7:AP42,SMALL(IF(ISNUMBER(AP7:AP42),IF(AP7:AP42&gt;0,IF(AS7:AS42&lt;&gt;"",ROW(AP7:AP42)-MIN(ROW(AP7:AP42))+1))),ROW()-ROW(A$45)+1)),"##0"),",",,",",,",",,",",INDEX(G7:G42,SMALL(IF(ISNUMBER(AP7:AP42),IF(AP7:AP42&gt;0,IF(AS7:AS42&lt;&gt;"",ROW(AP7:AP42)-MIN(ROW(AP7:AP42))+1))),ROW()-ROW(A$45)+1)),",",SUBSTITUTE(INDEX(IF(PURCHASE_DESCRIPTION&lt;&gt;"",PURCHASE_DESCRIPTION&amp;":","")&amp;A7:A42,SMALL(IF(ISNUMBER(AP7:AP42),IF(AP7:AP42&gt;0,IF(AS7:AS42&lt;&gt;"",ROW(AP7:AP42)-MIN(ROW(AP7:AP42))+1))),ROW()-ROW(A$45)+1)),",",";")),"")</f>
        <v>0</v>
      </c>
      <c r="AU59">
        <f t="array" ref="AU59">IFERROR(CONCATENATE(INDEX(AX7:AX42,SMALL(IF(ISNUMBER(AU7:AU42),IF(AU7:AU42&gt;0,IF(AX7:AX42&lt;&gt;"",ROW(AU7:AU42)-MIN(ROW(AU7:AU42))+1))),ROW()-ROW(A$45)+1))," ",TEXT(INDEX(AU7:AU42,SMALL(IF(ISNUMBER(AU7:AU42),IF(AU7:AU42&gt;0,IF(AX7:AX42&lt;&gt;"",ROW(AU7:AU42)-MIN(ROW(AU7:AU42))+1))),ROW()-ROW(A$45)+1)),"##0")," ",SUBSTITUTE(INDEX(IF(PURCHASE_DESCRIPTION&lt;&gt;"",PURCHASE_DESCRIPTION&amp;":","")&amp;A7:A42,SMALL(IF(ISNUMBER(AU7:AU42),IF(AU7:AU42&gt;0,IF(AX7:AX42&lt;&gt;"",ROW(AU7:AU42)-MIN(ROW(AU7:AU42))+1))),ROW()-ROW(A$45)+1))," ",";")),"")</f>
        <v>0</v>
      </c>
    </row>
    <row r="60" spans="12:47">
      <c r="L60">
        <f t="array" ref="L60">IFERROR(CONCATENATE(INDEX(O7:O42,SMALL(IF(ISNUMBER(L7:L42),IF(L7:L42&gt;0,IF(O7:O42&lt;&gt;"",ROW(L7:L42)-MIN(ROW(L7:L42))+1))),ROW()-ROW(A$45)+1)),",",TEXT(INDEX(L7:L42,SMALL(IF(ISNUMBER(L7:L42),IF(L7:L42&gt;0,IF(O7:O42&lt;&gt;"",ROW(L7:L42)-MIN(ROW(L7:L42))+1))),ROW()-ROW(A$45)+1)),"##0"),",",SUBSTITUTE(INDEX(IF(PURCHASE_DESCRIPTION&lt;&gt;"",PURCHASE_DESCRIPTION&amp;":","")&amp;A7:A42,SMALL(IF(ISNUMBER(L7:L42),IF(L7:L42&gt;0,IF(O7:O42&lt;&gt;"",ROW(L7:L42)-MIN(ROW(L7:L42))+1))),ROW()-ROW(A$45)+1)),",",";")),"")</f>
        <v>0</v>
      </c>
      <c r="Q60">
        <f t="array" ref="Q60">IFERROR(CONCATENATE(TEXT(INDEX(Q7:Q42,SMALL(IF(ISNUMBER(Q7:Q42),IF(Q7:Q42&gt;0,IF(T7:T42&lt;&gt;"",ROW(Q7:Q42)-MIN(ROW(Q7:Q42))+1))),ROW()-ROW(A$45)+1)),"##0"),",",INDEX(T7:T42,SMALL(IF(ISNUMBER(Q7:Q42),IF(Q7:Q42&gt;0,IF(T7:T42&lt;&gt;"",ROW(Q7:Q42)-MIN(ROW(Q7:Q42))+1))),ROW()-ROW(A$45)+1)),",",SUBSTITUTE(INDEX(IF(PURCHASE_DESCRIPTION&lt;&gt;"",PURCHASE_DESCRIPTION&amp;":","")&amp;A7:A42,SMALL(IF(ISNUMBER(Q7:Q42),IF(Q7:Q42&gt;0,IF(T7:T42&lt;&gt;"",ROW(Q7:Q42)-MIN(ROW(Q7:Q42))+1))),ROW()-ROW(A$45)+1)),",",";")),"")</f>
        <v>0</v>
      </c>
      <c r="V60">
        <f t="array" ref="V60">IFERROR(CONCATENATE(INDEX(Y7:Y42,SMALL(IF(ISNUMBER(V7:V42),IF(V7:V42&gt;0,IF(Y7:Y42&lt;&gt;"",ROW(V7:V42)-MIN(ROW(V7:V42))+1))),ROW()-ROW(A$45)+1)),",",TEXT(INDEX(V7:V42,SMALL(IF(ISNUMBER(V7:V42),IF(V7:V42&gt;0,IF(Y7:Y42&lt;&gt;"",ROW(V7:V42)-MIN(ROW(V7:V42))+1))),ROW()-ROW(A$45)+1)),"##0"),",",SUBSTITUTE(SUBSTITUTE(INDEX(IF(PURCHASE_DESCRIPTION&lt;&gt;"",PURCHASE_DESCRIPTION&amp;":","")&amp;A7:A42,SMALL(IF(ISNUMBER(V7:V42),IF(V7:V42&gt;0,IF(Y7:Y42&lt;&gt;"",ROW(V7:V42)-MIN(ROW(V7:V42))+1))),ROW()-ROW(A$45)+1)),",",";"),"
",";"),",",SUBSTITUTE(SUBSTITUTE(INDEX(IF(PURCHASE_DESCRIPTION&lt;&gt;"",PURCHASE_DESCRIPTION&amp;":","")&amp;C7:C42,SMALL(IF(ISNUMBER(V7:V42),IF(V7:V42&gt;0,IF(Y7:Y42&lt;&gt;"",ROW(V7:V42)-MIN(ROW(V7:V42))+1))),ROW()-ROW(A$45)+1)),",",";"),"
",";"),",",SUBSTITUTE(SUBSTITUTE(INDEX(IF(PURCHASE_DESCRIPTION&lt;&gt;"",PURCHASE_DESCRIPTION&amp;":","")&amp;F7:F42,SMALL(IF(ISNUMBER(V7:V42),IF(V7:V42&gt;0,IF(Y7:Y42&lt;&gt;"",ROW(V7:V42)-MIN(ROW(V7:V42))+1))),ROW()-ROW(A$45)+1)),",",";"),"
",";"),",",SUBSTITUTE(SUBSTITUTE(INDEX(IF(PURCHASE_DESCRIPTION&lt;&gt;"",PURCHASE_DESCRIPTION&amp;":","")&amp;D7:D42,SMALL(IF(ISNUMBER(V7:V42),IF(V7:V42&gt;0,IF(Y7:Y42&lt;&gt;"",ROW(V7:V42)-MIN(ROW(V7:V42))+1))),ROW()-ROW(A$45)+1)),",",";"),"
",";")),"")</f>
        <v>0</v>
      </c>
      <c r="AA60">
        <f t="array" ref="AA60">IFERROR(CONCATENATE(TEXT(INDEX(AA7:AA42,SMALL(IF(ISNUMBER(AA7:AA42),IF(AA7:AA42&gt;0,IF(AD7:AD42&lt;&gt;"",ROW(AA7:AA42)-MIN(ROW(AA7:AA42))+1))),ROW()-ROW(A$46)+1)),"##0"),",",SUBSTITUTE(INDEX(IF(PURCHASE_DESCRIPTION&lt;&gt;"",PURCHASE_DESCRIPTION&amp;":","")&amp;A7:A42,SMALL(IF(ISNUMBER(AA7:AA42),IF(AA7:AA42&gt;0,IF(AD7:AD42&lt;&gt;"",ROW(AA7:AA42)-MIN(ROW(AA7:AA42))+1))),ROW()-ROW(A$46)+1)),",",";"),",",SUBSTITUTE(INDEX(IF(PURCHASE_DESCRIPTION&lt;&gt;"",PURCHASE_DESCRIPTION&amp;":","")&amp;E7:E42,SMALL(IF(ISNUMBER(AA7:AA42),IF(AA7:AA42&gt;0,IF(AD7:AD42&lt;&gt;"",ROW(AA7:AA42)-MIN(ROW(AA7:AA42))+1))),ROW()-ROW(A$46)+1)),",",";"),",",INDEX(AD7:AD42,SMALL(IF(ISNUMBER(AA7:AA42),IF(AA7:AA42&gt;0,IF(AD7:AD42&lt;&gt;"",ROW(AA7:AA42)-MIN(ROW(AA7:AA42))+1))),ROW()-ROW(A$46)+1))),"")</f>
        <v>0</v>
      </c>
      <c r="AF60">
        <f t="array" ref="AF60">IFERROR(CONCATENATE(INDEX(AI7:AI42,SMALL(IF(ISNUMBER(AF7:AF42),IF(AF7:AF42&gt;0,IF(AI7:AI42&lt;&gt;"",ROW(AF7:AF42)-MIN(ROW(AF7:AF42))+1))),ROW()-ROW(A$45)+1)),"|",TEXT(INDEX(AF7:AF42,SMALL(IF(ISNUMBER(AF7:AF42),IF(AF7:AF42&gt;0,IF(AI7:AI42&lt;&gt;"",ROW(AF7:AF42)-MIN(ROW(AF7:AF42))+1))),ROW()-ROW(A$45)+1)),"##0"),"|",SUBSTITUTE(SUBSTITUTE(INDEX(IF(PURCHASE_DESCRIPTION&lt;&gt;"",PURCHASE_DESCRIPTION&amp;":","")&amp;A7:A42,SMALL(IF(ISNUMBER(AF7:AF42),IF(AF7:AF42&gt;0,IF(AI7:AI42&lt;&gt;"",ROW(AF7:AF42)-MIN(ROW(AF7:AF42))+1))),ROW()-ROW(A$45)+1)),"|",";")," ","_")),"")</f>
        <v>0</v>
      </c>
      <c r="AK60">
        <f t="array" ref="AK60">IFERROR(CONCATENATE(INDEX(AN7:AN42,SMALL(IF(ISNUMBER(AK7:AK42),IF(AK7:AK42&gt;0,IF(AN7:AN42&lt;&gt;"",ROW(AK7:AK42)-MIN(ROW(AK7:AK42))+1))),ROW()-ROW(A$45)+1)),",",TEXT(INDEX(AK7:AK42,SMALL(IF(ISNUMBER(AK7:AK42),IF(AK7:AK42&gt;0,IF(AN7:AN42&lt;&gt;"",ROW(AK7:AK42)-MIN(ROW(AK7:AK42))+1))),ROW()-ROW(A$45)+1)),"##0"),",",SUBSTITUTE(SUBSTITUTE(INDEX(IF(PURCHASE_DESCRIPTION&lt;&gt;"",PURCHASE_DESCRIPTION&amp;":","")&amp;A7:A42,SMALL(IF(ISNUMBER(AK7:AK42),IF(AK7:AK42&gt;0,IF(AN7:AN42&lt;&gt;"",ROW(AK7:AK42)-MIN(ROW(AK7:AK42))+1))),ROW()-ROW(A$45)+1)),",",";"),"
",";"),",",SUBSTITUTE(SUBSTITUTE(INDEX(IF(PURCHASE_DESCRIPTION&lt;&gt;"",PURCHASE_DESCRIPTION&amp;":","")&amp;C7:C42,SMALL(IF(ISNUMBER(AK7:AK42),IF(AK7:AK42&gt;0,IF(AN7:AN42&lt;&gt;"",ROW(AK7:AK42)-MIN(ROW(AK7:AK42))+1))),ROW()-ROW(A$45)+1)),",",";"),"
",";"),",",SUBSTITUTE(SUBSTITUTE(INDEX(IF(PURCHASE_DESCRIPTION&lt;&gt;"",PURCHASE_DESCRIPTION&amp;":","")&amp;F7:F42,SMALL(IF(ISNUMBER(AK7:AK42),IF(AK7:AK42&gt;0,IF(AN7:AN42&lt;&gt;"",ROW(AK7:AK42)-MIN(ROW(AK7:AK42))+1))),ROW()-ROW(A$45)+1)),",",";"),"
",";"),",",SUBSTITUTE(SUBSTITUTE(INDEX(IF(PURCHASE_DESCRIPTION&lt;&gt;"",PURCHASE_DESCRIPTION&amp;":","")&amp;D7:D42,SMALL(IF(ISNUMBER(AK7:AK42),IF(AK7:AK42&gt;0,IF(AN7:AN42&lt;&gt;"",ROW(AK7:AK42)-MIN(ROW(AK7:AK42))+1))),ROW()-ROW(A$45)+1)),",",";"),"
",";")),"")</f>
        <v>0</v>
      </c>
      <c r="AP60">
        <f t="array" ref="AP60">IFERROR(CONCATENATE(INDEX(AS7:AS42,SMALL(IF(ISNUMBER(AP7:AP42),IF(AP7:AP42&gt;0,IF(AS7:AS42&lt;&gt;"",ROW(AP7:AP42)-MIN(ROW(AP7:AP42))+1))),ROW()-ROW(A$45)+1)),",",TEXT(INDEX(AP7:AP42,SMALL(IF(ISNUMBER(AP7:AP42),IF(AP7:AP42&gt;0,IF(AS7:AS42&lt;&gt;"",ROW(AP7:AP42)-MIN(ROW(AP7:AP42))+1))),ROW()-ROW(A$45)+1)),"##0"),",",,",",,",",,",",INDEX(G7:G42,SMALL(IF(ISNUMBER(AP7:AP42),IF(AP7:AP42&gt;0,IF(AS7:AS42&lt;&gt;"",ROW(AP7:AP42)-MIN(ROW(AP7:AP42))+1))),ROW()-ROW(A$45)+1)),",",SUBSTITUTE(INDEX(IF(PURCHASE_DESCRIPTION&lt;&gt;"",PURCHASE_DESCRIPTION&amp;":","")&amp;A7:A42,SMALL(IF(ISNUMBER(AP7:AP42),IF(AP7:AP42&gt;0,IF(AS7:AS42&lt;&gt;"",ROW(AP7:AP42)-MIN(ROW(AP7:AP42))+1))),ROW()-ROW(A$45)+1)),",",";")),"")</f>
        <v>0</v>
      </c>
      <c r="AU60">
        <f t="array" ref="AU60">IFERROR(CONCATENATE(INDEX(AX7:AX42,SMALL(IF(ISNUMBER(AU7:AU42),IF(AU7:AU42&gt;0,IF(AX7:AX42&lt;&gt;"",ROW(AU7:AU42)-MIN(ROW(AU7:AU42))+1))),ROW()-ROW(A$45)+1))," ",TEXT(INDEX(AU7:AU42,SMALL(IF(ISNUMBER(AU7:AU42),IF(AU7:AU42&gt;0,IF(AX7:AX42&lt;&gt;"",ROW(AU7:AU42)-MIN(ROW(AU7:AU42))+1))),ROW()-ROW(A$45)+1)),"##0")," ",SUBSTITUTE(INDEX(IF(PURCHASE_DESCRIPTION&lt;&gt;"",PURCHASE_DESCRIPTION&amp;":","")&amp;A7:A42,SMALL(IF(ISNUMBER(AU7:AU42),IF(AU7:AU42&gt;0,IF(AX7:AX42&lt;&gt;"",ROW(AU7:AU42)-MIN(ROW(AU7:AU42))+1))),ROW()-ROW(A$45)+1))," ",";")),"")</f>
        <v>0</v>
      </c>
    </row>
    <row r="61" spans="12:47">
      <c r="L61">
        <f t="array" ref="L61">IFERROR(CONCATENATE(INDEX(O7:O42,SMALL(IF(ISNUMBER(L7:L42),IF(L7:L42&gt;0,IF(O7:O42&lt;&gt;"",ROW(L7:L42)-MIN(ROW(L7:L42))+1))),ROW()-ROW(A$45)+1)),",",TEXT(INDEX(L7:L42,SMALL(IF(ISNUMBER(L7:L42),IF(L7:L42&gt;0,IF(O7:O42&lt;&gt;"",ROW(L7:L42)-MIN(ROW(L7:L42))+1))),ROW()-ROW(A$45)+1)),"##0"),",",SUBSTITUTE(INDEX(IF(PURCHASE_DESCRIPTION&lt;&gt;"",PURCHASE_DESCRIPTION&amp;":","")&amp;A7:A42,SMALL(IF(ISNUMBER(L7:L42),IF(L7:L42&gt;0,IF(O7:O42&lt;&gt;"",ROW(L7:L42)-MIN(ROW(L7:L42))+1))),ROW()-ROW(A$45)+1)),",",";")),"")</f>
        <v>0</v>
      </c>
      <c r="Q61">
        <f t="array" ref="Q61">IFERROR(CONCATENATE(TEXT(INDEX(Q7:Q42,SMALL(IF(ISNUMBER(Q7:Q42),IF(Q7:Q42&gt;0,IF(T7:T42&lt;&gt;"",ROW(Q7:Q42)-MIN(ROW(Q7:Q42))+1))),ROW()-ROW(A$45)+1)),"##0"),",",INDEX(T7:T42,SMALL(IF(ISNUMBER(Q7:Q42),IF(Q7:Q42&gt;0,IF(T7:T42&lt;&gt;"",ROW(Q7:Q42)-MIN(ROW(Q7:Q42))+1))),ROW()-ROW(A$45)+1)),",",SUBSTITUTE(INDEX(IF(PURCHASE_DESCRIPTION&lt;&gt;"",PURCHASE_DESCRIPTION&amp;":","")&amp;A7:A42,SMALL(IF(ISNUMBER(Q7:Q42),IF(Q7:Q42&gt;0,IF(T7:T42&lt;&gt;"",ROW(Q7:Q42)-MIN(ROW(Q7:Q42))+1))),ROW()-ROW(A$45)+1)),",",";")),"")</f>
        <v>0</v>
      </c>
      <c r="V61">
        <f t="array" ref="V61">IFERROR(CONCATENATE(INDEX(Y7:Y42,SMALL(IF(ISNUMBER(V7:V42),IF(V7:V42&gt;0,IF(Y7:Y42&lt;&gt;"",ROW(V7:V42)-MIN(ROW(V7:V42))+1))),ROW()-ROW(A$45)+1)),",",TEXT(INDEX(V7:V42,SMALL(IF(ISNUMBER(V7:V42),IF(V7:V42&gt;0,IF(Y7:Y42&lt;&gt;"",ROW(V7:V42)-MIN(ROW(V7:V42))+1))),ROW()-ROW(A$45)+1)),"##0"),",",SUBSTITUTE(SUBSTITUTE(INDEX(IF(PURCHASE_DESCRIPTION&lt;&gt;"",PURCHASE_DESCRIPTION&amp;":","")&amp;A7:A42,SMALL(IF(ISNUMBER(V7:V42),IF(V7:V42&gt;0,IF(Y7:Y42&lt;&gt;"",ROW(V7:V42)-MIN(ROW(V7:V42))+1))),ROW()-ROW(A$45)+1)),",",";"),"
",";"),",",SUBSTITUTE(SUBSTITUTE(INDEX(IF(PURCHASE_DESCRIPTION&lt;&gt;"",PURCHASE_DESCRIPTION&amp;":","")&amp;C7:C42,SMALL(IF(ISNUMBER(V7:V42),IF(V7:V42&gt;0,IF(Y7:Y42&lt;&gt;"",ROW(V7:V42)-MIN(ROW(V7:V42))+1))),ROW()-ROW(A$45)+1)),",",";"),"
",";"),",",SUBSTITUTE(SUBSTITUTE(INDEX(IF(PURCHASE_DESCRIPTION&lt;&gt;"",PURCHASE_DESCRIPTION&amp;":","")&amp;F7:F42,SMALL(IF(ISNUMBER(V7:V42),IF(V7:V42&gt;0,IF(Y7:Y42&lt;&gt;"",ROW(V7:V42)-MIN(ROW(V7:V42))+1))),ROW()-ROW(A$45)+1)),",",";"),"
",";"),",",SUBSTITUTE(SUBSTITUTE(INDEX(IF(PURCHASE_DESCRIPTION&lt;&gt;"",PURCHASE_DESCRIPTION&amp;":","")&amp;D7:D42,SMALL(IF(ISNUMBER(V7:V42),IF(V7:V42&gt;0,IF(Y7:Y42&lt;&gt;"",ROW(V7:V42)-MIN(ROW(V7:V42))+1))),ROW()-ROW(A$45)+1)),",",";"),"
",";")),"")</f>
        <v>0</v>
      </c>
      <c r="AA61">
        <f t="array" ref="AA61">IFERROR(CONCATENATE(TEXT(INDEX(AA7:AA42,SMALL(IF(ISNUMBER(AA7:AA42),IF(AA7:AA42&gt;0,IF(AD7:AD42&lt;&gt;"",ROW(AA7:AA42)-MIN(ROW(AA7:AA42))+1))),ROW()-ROW(A$46)+1)),"##0"),",",SUBSTITUTE(INDEX(IF(PURCHASE_DESCRIPTION&lt;&gt;"",PURCHASE_DESCRIPTION&amp;":","")&amp;A7:A42,SMALL(IF(ISNUMBER(AA7:AA42),IF(AA7:AA42&gt;0,IF(AD7:AD42&lt;&gt;"",ROW(AA7:AA42)-MIN(ROW(AA7:AA42))+1))),ROW()-ROW(A$46)+1)),",",";"),",",SUBSTITUTE(INDEX(IF(PURCHASE_DESCRIPTION&lt;&gt;"",PURCHASE_DESCRIPTION&amp;":","")&amp;E7:E42,SMALL(IF(ISNUMBER(AA7:AA42),IF(AA7:AA42&gt;0,IF(AD7:AD42&lt;&gt;"",ROW(AA7:AA42)-MIN(ROW(AA7:AA42))+1))),ROW()-ROW(A$46)+1)),",",";"),",",INDEX(AD7:AD42,SMALL(IF(ISNUMBER(AA7:AA42),IF(AA7:AA42&gt;0,IF(AD7:AD42&lt;&gt;"",ROW(AA7:AA42)-MIN(ROW(AA7:AA42))+1))),ROW()-ROW(A$46)+1))),"")</f>
        <v>0</v>
      </c>
      <c r="AF61">
        <f t="array" ref="AF61">IFERROR(CONCATENATE(INDEX(AI7:AI42,SMALL(IF(ISNUMBER(AF7:AF42),IF(AF7:AF42&gt;0,IF(AI7:AI42&lt;&gt;"",ROW(AF7:AF42)-MIN(ROW(AF7:AF42))+1))),ROW()-ROW(A$45)+1)),"|",TEXT(INDEX(AF7:AF42,SMALL(IF(ISNUMBER(AF7:AF42),IF(AF7:AF42&gt;0,IF(AI7:AI42&lt;&gt;"",ROW(AF7:AF42)-MIN(ROW(AF7:AF42))+1))),ROW()-ROW(A$45)+1)),"##0"),"|",SUBSTITUTE(SUBSTITUTE(INDEX(IF(PURCHASE_DESCRIPTION&lt;&gt;"",PURCHASE_DESCRIPTION&amp;":","")&amp;A7:A42,SMALL(IF(ISNUMBER(AF7:AF42),IF(AF7:AF42&gt;0,IF(AI7:AI42&lt;&gt;"",ROW(AF7:AF42)-MIN(ROW(AF7:AF42))+1))),ROW()-ROW(A$45)+1)),"|",";")," ","_")),"")</f>
        <v>0</v>
      </c>
      <c r="AK61">
        <f t="array" ref="AK61">IFERROR(CONCATENATE(INDEX(AN7:AN42,SMALL(IF(ISNUMBER(AK7:AK42),IF(AK7:AK42&gt;0,IF(AN7:AN42&lt;&gt;"",ROW(AK7:AK42)-MIN(ROW(AK7:AK42))+1))),ROW()-ROW(A$45)+1)),",",TEXT(INDEX(AK7:AK42,SMALL(IF(ISNUMBER(AK7:AK42),IF(AK7:AK42&gt;0,IF(AN7:AN42&lt;&gt;"",ROW(AK7:AK42)-MIN(ROW(AK7:AK42))+1))),ROW()-ROW(A$45)+1)),"##0"),",",SUBSTITUTE(SUBSTITUTE(INDEX(IF(PURCHASE_DESCRIPTION&lt;&gt;"",PURCHASE_DESCRIPTION&amp;":","")&amp;A7:A42,SMALL(IF(ISNUMBER(AK7:AK42),IF(AK7:AK42&gt;0,IF(AN7:AN42&lt;&gt;"",ROW(AK7:AK42)-MIN(ROW(AK7:AK42))+1))),ROW()-ROW(A$45)+1)),",",";"),"
",";"),",",SUBSTITUTE(SUBSTITUTE(INDEX(IF(PURCHASE_DESCRIPTION&lt;&gt;"",PURCHASE_DESCRIPTION&amp;":","")&amp;C7:C42,SMALL(IF(ISNUMBER(AK7:AK42),IF(AK7:AK42&gt;0,IF(AN7:AN42&lt;&gt;"",ROW(AK7:AK42)-MIN(ROW(AK7:AK42))+1))),ROW()-ROW(A$45)+1)),",",";"),"
",";"),",",SUBSTITUTE(SUBSTITUTE(INDEX(IF(PURCHASE_DESCRIPTION&lt;&gt;"",PURCHASE_DESCRIPTION&amp;":","")&amp;F7:F42,SMALL(IF(ISNUMBER(AK7:AK42),IF(AK7:AK42&gt;0,IF(AN7:AN42&lt;&gt;"",ROW(AK7:AK42)-MIN(ROW(AK7:AK42))+1))),ROW()-ROW(A$45)+1)),",",";"),"
",";"),",",SUBSTITUTE(SUBSTITUTE(INDEX(IF(PURCHASE_DESCRIPTION&lt;&gt;"",PURCHASE_DESCRIPTION&amp;":","")&amp;D7:D42,SMALL(IF(ISNUMBER(AK7:AK42),IF(AK7:AK42&gt;0,IF(AN7:AN42&lt;&gt;"",ROW(AK7:AK42)-MIN(ROW(AK7:AK42))+1))),ROW()-ROW(A$45)+1)),",",";"),"
",";")),"")</f>
        <v>0</v>
      </c>
      <c r="AP61">
        <f t="array" ref="AP61">IFERROR(CONCATENATE(INDEX(AS7:AS42,SMALL(IF(ISNUMBER(AP7:AP42),IF(AP7:AP42&gt;0,IF(AS7:AS42&lt;&gt;"",ROW(AP7:AP42)-MIN(ROW(AP7:AP42))+1))),ROW()-ROW(A$45)+1)),",",TEXT(INDEX(AP7:AP42,SMALL(IF(ISNUMBER(AP7:AP42),IF(AP7:AP42&gt;0,IF(AS7:AS42&lt;&gt;"",ROW(AP7:AP42)-MIN(ROW(AP7:AP42))+1))),ROW()-ROW(A$45)+1)),"##0"),",",,",",,",",,",",INDEX(G7:G42,SMALL(IF(ISNUMBER(AP7:AP42),IF(AP7:AP42&gt;0,IF(AS7:AS42&lt;&gt;"",ROW(AP7:AP42)-MIN(ROW(AP7:AP42))+1))),ROW()-ROW(A$45)+1)),",",SUBSTITUTE(INDEX(IF(PURCHASE_DESCRIPTION&lt;&gt;"",PURCHASE_DESCRIPTION&amp;":","")&amp;A7:A42,SMALL(IF(ISNUMBER(AP7:AP42),IF(AP7:AP42&gt;0,IF(AS7:AS42&lt;&gt;"",ROW(AP7:AP42)-MIN(ROW(AP7:AP42))+1))),ROW()-ROW(A$45)+1)),",",";")),"")</f>
        <v>0</v>
      </c>
      <c r="AU61">
        <f t="array" ref="AU61">IFERROR(CONCATENATE(INDEX(AX7:AX42,SMALL(IF(ISNUMBER(AU7:AU42),IF(AU7:AU42&gt;0,IF(AX7:AX42&lt;&gt;"",ROW(AU7:AU42)-MIN(ROW(AU7:AU42))+1))),ROW()-ROW(A$45)+1))," ",TEXT(INDEX(AU7:AU42,SMALL(IF(ISNUMBER(AU7:AU42),IF(AU7:AU42&gt;0,IF(AX7:AX42&lt;&gt;"",ROW(AU7:AU42)-MIN(ROW(AU7:AU42))+1))),ROW()-ROW(A$45)+1)),"##0")," ",SUBSTITUTE(INDEX(IF(PURCHASE_DESCRIPTION&lt;&gt;"",PURCHASE_DESCRIPTION&amp;":","")&amp;A7:A42,SMALL(IF(ISNUMBER(AU7:AU42),IF(AU7:AU42&gt;0,IF(AX7:AX42&lt;&gt;"",ROW(AU7:AU42)-MIN(ROW(AU7:AU42))+1))),ROW()-ROW(A$45)+1))," ",";")),"")</f>
        <v>0</v>
      </c>
    </row>
    <row r="62" spans="12:47">
      <c r="L62">
        <f t="array" ref="L62">IFERROR(CONCATENATE(INDEX(O7:O42,SMALL(IF(ISNUMBER(L7:L42),IF(L7:L42&gt;0,IF(O7:O42&lt;&gt;"",ROW(L7:L42)-MIN(ROW(L7:L42))+1))),ROW()-ROW(A$45)+1)),",",TEXT(INDEX(L7:L42,SMALL(IF(ISNUMBER(L7:L42),IF(L7:L42&gt;0,IF(O7:O42&lt;&gt;"",ROW(L7:L42)-MIN(ROW(L7:L42))+1))),ROW()-ROW(A$45)+1)),"##0"),",",SUBSTITUTE(INDEX(IF(PURCHASE_DESCRIPTION&lt;&gt;"",PURCHASE_DESCRIPTION&amp;":","")&amp;A7:A42,SMALL(IF(ISNUMBER(L7:L42),IF(L7:L42&gt;0,IF(O7:O42&lt;&gt;"",ROW(L7:L42)-MIN(ROW(L7:L42))+1))),ROW()-ROW(A$45)+1)),",",";")),"")</f>
        <v>0</v>
      </c>
      <c r="Q62">
        <f t="array" ref="Q62">IFERROR(CONCATENATE(TEXT(INDEX(Q7:Q42,SMALL(IF(ISNUMBER(Q7:Q42),IF(Q7:Q42&gt;0,IF(T7:T42&lt;&gt;"",ROW(Q7:Q42)-MIN(ROW(Q7:Q42))+1))),ROW()-ROW(A$45)+1)),"##0"),",",INDEX(T7:T42,SMALL(IF(ISNUMBER(Q7:Q42),IF(Q7:Q42&gt;0,IF(T7:T42&lt;&gt;"",ROW(Q7:Q42)-MIN(ROW(Q7:Q42))+1))),ROW()-ROW(A$45)+1)),",",SUBSTITUTE(INDEX(IF(PURCHASE_DESCRIPTION&lt;&gt;"",PURCHASE_DESCRIPTION&amp;":","")&amp;A7:A42,SMALL(IF(ISNUMBER(Q7:Q42),IF(Q7:Q42&gt;0,IF(T7:T42&lt;&gt;"",ROW(Q7:Q42)-MIN(ROW(Q7:Q42))+1))),ROW()-ROW(A$45)+1)),",",";")),"")</f>
        <v>0</v>
      </c>
      <c r="V62">
        <f t="array" ref="V62">IFERROR(CONCATENATE(INDEX(Y7:Y42,SMALL(IF(ISNUMBER(V7:V42),IF(V7:V42&gt;0,IF(Y7:Y42&lt;&gt;"",ROW(V7:V42)-MIN(ROW(V7:V42))+1))),ROW()-ROW(A$45)+1)),",",TEXT(INDEX(V7:V42,SMALL(IF(ISNUMBER(V7:V42),IF(V7:V42&gt;0,IF(Y7:Y42&lt;&gt;"",ROW(V7:V42)-MIN(ROW(V7:V42))+1))),ROW()-ROW(A$45)+1)),"##0"),",",SUBSTITUTE(SUBSTITUTE(INDEX(IF(PURCHASE_DESCRIPTION&lt;&gt;"",PURCHASE_DESCRIPTION&amp;":","")&amp;A7:A42,SMALL(IF(ISNUMBER(V7:V42),IF(V7:V42&gt;0,IF(Y7:Y42&lt;&gt;"",ROW(V7:V42)-MIN(ROW(V7:V42))+1))),ROW()-ROW(A$45)+1)),",",";"),"
",";"),",",SUBSTITUTE(SUBSTITUTE(INDEX(IF(PURCHASE_DESCRIPTION&lt;&gt;"",PURCHASE_DESCRIPTION&amp;":","")&amp;C7:C42,SMALL(IF(ISNUMBER(V7:V42),IF(V7:V42&gt;0,IF(Y7:Y42&lt;&gt;"",ROW(V7:V42)-MIN(ROW(V7:V42))+1))),ROW()-ROW(A$45)+1)),",",";"),"
",";"),",",SUBSTITUTE(SUBSTITUTE(INDEX(IF(PURCHASE_DESCRIPTION&lt;&gt;"",PURCHASE_DESCRIPTION&amp;":","")&amp;F7:F42,SMALL(IF(ISNUMBER(V7:V42),IF(V7:V42&gt;0,IF(Y7:Y42&lt;&gt;"",ROW(V7:V42)-MIN(ROW(V7:V42))+1))),ROW()-ROW(A$45)+1)),",",";"),"
",";"),",",SUBSTITUTE(SUBSTITUTE(INDEX(IF(PURCHASE_DESCRIPTION&lt;&gt;"",PURCHASE_DESCRIPTION&amp;":","")&amp;D7:D42,SMALL(IF(ISNUMBER(V7:V42),IF(V7:V42&gt;0,IF(Y7:Y42&lt;&gt;"",ROW(V7:V42)-MIN(ROW(V7:V42))+1))),ROW()-ROW(A$45)+1)),",",";"),"
",";")),"")</f>
        <v>0</v>
      </c>
      <c r="AA62">
        <f t="array" ref="AA62">IFERROR(CONCATENATE(TEXT(INDEX(AA7:AA42,SMALL(IF(ISNUMBER(AA7:AA42),IF(AA7:AA42&gt;0,IF(AD7:AD42&lt;&gt;"",ROW(AA7:AA42)-MIN(ROW(AA7:AA42))+1))),ROW()-ROW(A$46)+1)),"##0"),",",SUBSTITUTE(INDEX(IF(PURCHASE_DESCRIPTION&lt;&gt;"",PURCHASE_DESCRIPTION&amp;":","")&amp;A7:A42,SMALL(IF(ISNUMBER(AA7:AA42),IF(AA7:AA42&gt;0,IF(AD7:AD42&lt;&gt;"",ROW(AA7:AA42)-MIN(ROW(AA7:AA42))+1))),ROW()-ROW(A$46)+1)),",",";"),",",SUBSTITUTE(INDEX(IF(PURCHASE_DESCRIPTION&lt;&gt;"",PURCHASE_DESCRIPTION&amp;":","")&amp;E7:E42,SMALL(IF(ISNUMBER(AA7:AA42),IF(AA7:AA42&gt;0,IF(AD7:AD42&lt;&gt;"",ROW(AA7:AA42)-MIN(ROW(AA7:AA42))+1))),ROW()-ROW(A$46)+1)),",",";"),",",INDEX(AD7:AD42,SMALL(IF(ISNUMBER(AA7:AA42),IF(AA7:AA42&gt;0,IF(AD7:AD42&lt;&gt;"",ROW(AA7:AA42)-MIN(ROW(AA7:AA42))+1))),ROW()-ROW(A$46)+1))),"")</f>
        <v>0</v>
      </c>
      <c r="AF62">
        <f t="array" ref="AF62">IFERROR(CONCATENATE(INDEX(AI7:AI42,SMALL(IF(ISNUMBER(AF7:AF42),IF(AF7:AF42&gt;0,IF(AI7:AI42&lt;&gt;"",ROW(AF7:AF42)-MIN(ROW(AF7:AF42))+1))),ROW()-ROW(A$45)+1)),"|",TEXT(INDEX(AF7:AF42,SMALL(IF(ISNUMBER(AF7:AF42),IF(AF7:AF42&gt;0,IF(AI7:AI42&lt;&gt;"",ROW(AF7:AF42)-MIN(ROW(AF7:AF42))+1))),ROW()-ROW(A$45)+1)),"##0"),"|",SUBSTITUTE(SUBSTITUTE(INDEX(IF(PURCHASE_DESCRIPTION&lt;&gt;"",PURCHASE_DESCRIPTION&amp;":","")&amp;A7:A42,SMALL(IF(ISNUMBER(AF7:AF42),IF(AF7:AF42&gt;0,IF(AI7:AI42&lt;&gt;"",ROW(AF7:AF42)-MIN(ROW(AF7:AF42))+1))),ROW()-ROW(A$45)+1)),"|",";")," ","_")),"")</f>
        <v>0</v>
      </c>
      <c r="AK62">
        <f t="array" ref="AK62">IFERROR(CONCATENATE(INDEX(AN7:AN42,SMALL(IF(ISNUMBER(AK7:AK42),IF(AK7:AK42&gt;0,IF(AN7:AN42&lt;&gt;"",ROW(AK7:AK42)-MIN(ROW(AK7:AK42))+1))),ROW()-ROW(A$45)+1)),",",TEXT(INDEX(AK7:AK42,SMALL(IF(ISNUMBER(AK7:AK42),IF(AK7:AK42&gt;0,IF(AN7:AN42&lt;&gt;"",ROW(AK7:AK42)-MIN(ROW(AK7:AK42))+1))),ROW()-ROW(A$45)+1)),"##0"),",",SUBSTITUTE(SUBSTITUTE(INDEX(IF(PURCHASE_DESCRIPTION&lt;&gt;"",PURCHASE_DESCRIPTION&amp;":","")&amp;A7:A42,SMALL(IF(ISNUMBER(AK7:AK42),IF(AK7:AK42&gt;0,IF(AN7:AN42&lt;&gt;"",ROW(AK7:AK42)-MIN(ROW(AK7:AK42))+1))),ROW()-ROW(A$45)+1)),",",";"),"
",";"),",",SUBSTITUTE(SUBSTITUTE(INDEX(IF(PURCHASE_DESCRIPTION&lt;&gt;"",PURCHASE_DESCRIPTION&amp;":","")&amp;C7:C42,SMALL(IF(ISNUMBER(AK7:AK42),IF(AK7:AK42&gt;0,IF(AN7:AN42&lt;&gt;"",ROW(AK7:AK42)-MIN(ROW(AK7:AK42))+1))),ROW()-ROW(A$45)+1)),",",";"),"
",";"),",",SUBSTITUTE(SUBSTITUTE(INDEX(IF(PURCHASE_DESCRIPTION&lt;&gt;"",PURCHASE_DESCRIPTION&amp;":","")&amp;F7:F42,SMALL(IF(ISNUMBER(AK7:AK42),IF(AK7:AK42&gt;0,IF(AN7:AN42&lt;&gt;"",ROW(AK7:AK42)-MIN(ROW(AK7:AK42))+1))),ROW()-ROW(A$45)+1)),",",";"),"
",";"),",",SUBSTITUTE(SUBSTITUTE(INDEX(IF(PURCHASE_DESCRIPTION&lt;&gt;"",PURCHASE_DESCRIPTION&amp;":","")&amp;D7:D42,SMALL(IF(ISNUMBER(AK7:AK42),IF(AK7:AK42&gt;0,IF(AN7:AN42&lt;&gt;"",ROW(AK7:AK42)-MIN(ROW(AK7:AK42))+1))),ROW()-ROW(A$45)+1)),",",";"),"
",";")),"")</f>
        <v>0</v>
      </c>
      <c r="AP62">
        <f t="array" ref="AP62">IFERROR(CONCATENATE(INDEX(AS7:AS42,SMALL(IF(ISNUMBER(AP7:AP42),IF(AP7:AP42&gt;0,IF(AS7:AS42&lt;&gt;"",ROW(AP7:AP42)-MIN(ROW(AP7:AP42))+1))),ROW()-ROW(A$45)+1)),",",TEXT(INDEX(AP7:AP42,SMALL(IF(ISNUMBER(AP7:AP42),IF(AP7:AP42&gt;0,IF(AS7:AS42&lt;&gt;"",ROW(AP7:AP42)-MIN(ROW(AP7:AP42))+1))),ROW()-ROW(A$45)+1)),"##0"),",",,",",,",",,",",INDEX(G7:G42,SMALL(IF(ISNUMBER(AP7:AP42),IF(AP7:AP42&gt;0,IF(AS7:AS42&lt;&gt;"",ROW(AP7:AP42)-MIN(ROW(AP7:AP42))+1))),ROW()-ROW(A$45)+1)),",",SUBSTITUTE(INDEX(IF(PURCHASE_DESCRIPTION&lt;&gt;"",PURCHASE_DESCRIPTION&amp;":","")&amp;A7:A42,SMALL(IF(ISNUMBER(AP7:AP42),IF(AP7:AP42&gt;0,IF(AS7:AS42&lt;&gt;"",ROW(AP7:AP42)-MIN(ROW(AP7:AP42))+1))),ROW()-ROW(A$45)+1)),",",";")),"")</f>
        <v>0</v>
      </c>
      <c r="AU62">
        <f t="array" ref="AU62">IFERROR(CONCATENATE(INDEX(AX7:AX42,SMALL(IF(ISNUMBER(AU7:AU42),IF(AU7:AU42&gt;0,IF(AX7:AX42&lt;&gt;"",ROW(AU7:AU42)-MIN(ROW(AU7:AU42))+1))),ROW()-ROW(A$45)+1))," ",TEXT(INDEX(AU7:AU42,SMALL(IF(ISNUMBER(AU7:AU42),IF(AU7:AU42&gt;0,IF(AX7:AX42&lt;&gt;"",ROW(AU7:AU42)-MIN(ROW(AU7:AU42))+1))),ROW()-ROW(A$45)+1)),"##0")," ",SUBSTITUTE(INDEX(IF(PURCHASE_DESCRIPTION&lt;&gt;"",PURCHASE_DESCRIPTION&amp;":","")&amp;A7:A42,SMALL(IF(ISNUMBER(AU7:AU42),IF(AU7:AU42&gt;0,IF(AX7:AX42&lt;&gt;"",ROW(AU7:AU42)-MIN(ROW(AU7:AU42))+1))),ROW()-ROW(A$45)+1))," ",";")),"")</f>
        <v>0</v>
      </c>
    </row>
    <row r="63" spans="12:47">
      <c r="L63">
        <f t="array" ref="L63">IFERROR(CONCATENATE(INDEX(O7:O42,SMALL(IF(ISNUMBER(L7:L42),IF(L7:L42&gt;0,IF(O7:O42&lt;&gt;"",ROW(L7:L42)-MIN(ROW(L7:L42))+1))),ROW()-ROW(A$45)+1)),",",TEXT(INDEX(L7:L42,SMALL(IF(ISNUMBER(L7:L42),IF(L7:L42&gt;0,IF(O7:O42&lt;&gt;"",ROW(L7:L42)-MIN(ROW(L7:L42))+1))),ROW()-ROW(A$45)+1)),"##0"),",",SUBSTITUTE(INDEX(IF(PURCHASE_DESCRIPTION&lt;&gt;"",PURCHASE_DESCRIPTION&amp;":","")&amp;A7:A42,SMALL(IF(ISNUMBER(L7:L42),IF(L7:L42&gt;0,IF(O7:O42&lt;&gt;"",ROW(L7:L42)-MIN(ROW(L7:L42))+1))),ROW()-ROW(A$45)+1)),",",";")),"")</f>
        <v>0</v>
      </c>
      <c r="Q63">
        <f t="array" ref="Q63">IFERROR(CONCATENATE(TEXT(INDEX(Q7:Q42,SMALL(IF(ISNUMBER(Q7:Q42),IF(Q7:Q42&gt;0,IF(T7:T42&lt;&gt;"",ROW(Q7:Q42)-MIN(ROW(Q7:Q42))+1))),ROW()-ROW(A$45)+1)),"##0"),",",INDEX(T7:T42,SMALL(IF(ISNUMBER(Q7:Q42),IF(Q7:Q42&gt;0,IF(T7:T42&lt;&gt;"",ROW(Q7:Q42)-MIN(ROW(Q7:Q42))+1))),ROW()-ROW(A$45)+1)),",",SUBSTITUTE(INDEX(IF(PURCHASE_DESCRIPTION&lt;&gt;"",PURCHASE_DESCRIPTION&amp;":","")&amp;A7:A42,SMALL(IF(ISNUMBER(Q7:Q42),IF(Q7:Q42&gt;0,IF(T7:T42&lt;&gt;"",ROW(Q7:Q42)-MIN(ROW(Q7:Q42))+1))),ROW()-ROW(A$45)+1)),",",";")),"")</f>
        <v>0</v>
      </c>
      <c r="V63">
        <f t="array" ref="V63">IFERROR(CONCATENATE(INDEX(Y7:Y42,SMALL(IF(ISNUMBER(V7:V42),IF(V7:V42&gt;0,IF(Y7:Y42&lt;&gt;"",ROW(V7:V42)-MIN(ROW(V7:V42))+1))),ROW()-ROW(A$45)+1)),",",TEXT(INDEX(V7:V42,SMALL(IF(ISNUMBER(V7:V42),IF(V7:V42&gt;0,IF(Y7:Y42&lt;&gt;"",ROW(V7:V42)-MIN(ROW(V7:V42))+1))),ROW()-ROW(A$45)+1)),"##0"),",",SUBSTITUTE(SUBSTITUTE(INDEX(IF(PURCHASE_DESCRIPTION&lt;&gt;"",PURCHASE_DESCRIPTION&amp;":","")&amp;A7:A42,SMALL(IF(ISNUMBER(V7:V42),IF(V7:V42&gt;0,IF(Y7:Y42&lt;&gt;"",ROW(V7:V42)-MIN(ROW(V7:V42))+1))),ROW()-ROW(A$45)+1)),",",";"),"
",";"),",",SUBSTITUTE(SUBSTITUTE(INDEX(IF(PURCHASE_DESCRIPTION&lt;&gt;"",PURCHASE_DESCRIPTION&amp;":","")&amp;C7:C42,SMALL(IF(ISNUMBER(V7:V42),IF(V7:V42&gt;0,IF(Y7:Y42&lt;&gt;"",ROW(V7:V42)-MIN(ROW(V7:V42))+1))),ROW()-ROW(A$45)+1)),",",";"),"
",";"),",",SUBSTITUTE(SUBSTITUTE(INDEX(IF(PURCHASE_DESCRIPTION&lt;&gt;"",PURCHASE_DESCRIPTION&amp;":","")&amp;F7:F42,SMALL(IF(ISNUMBER(V7:V42),IF(V7:V42&gt;0,IF(Y7:Y42&lt;&gt;"",ROW(V7:V42)-MIN(ROW(V7:V42))+1))),ROW()-ROW(A$45)+1)),",",";"),"
",";"),",",SUBSTITUTE(SUBSTITUTE(INDEX(IF(PURCHASE_DESCRIPTION&lt;&gt;"",PURCHASE_DESCRIPTION&amp;":","")&amp;D7:D42,SMALL(IF(ISNUMBER(V7:V42),IF(V7:V42&gt;0,IF(Y7:Y42&lt;&gt;"",ROW(V7:V42)-MIN(ROW(V7:V42))+1))),ROW()-ROW(A$45)+1)),",",";"),"
",";")),"")</f>
        <v>0</v>
      </c>
      <c r="AA63">
        <f t="array" ref="AA63">IFERROR(CONCATENATE(TEXT(INDEX(AA7:AA42,SMALL(IF(ISNUMBER(AA7:AA42),IF(AA7:AA42&gt;0,IF(AD7:AD42&lt;&gt;"",ROW(AA7:AA42)-MIN(ROW(AA7:AA42))+1))),ROW()-ROW(A$46)+1)),"##0"),",",SUBSTITUTE(INDEX(IF(PURCHASE_DESCRIPTION&lt;&gt;"",PURCHASE_DESCRIPTION&amp;":","")&amp;A7:A42,SMALL(IF(ISNUMBER(AA7:AA42),IF(AA7:AA42&gt;0,IF(AD7:AD42&lt;&gt;"",ROW(AA7:AA42)-MIN(ROW(AA7:AA42))+1))),ROW()-ROW(A$46)+1)),",",";"),",",SUBSTITUTE(INDEX(IF(PURCHASE_DESCRIPTION&lt;&gt;"",PURCHASE_DESCRIPTION&amp;":","")&amp;E7:E42,SMALL(IF(ISNUMBER(AA7:AA42),IF(AA7:AA42&gt;0,IF(AD7:AD42&lt;&gt;"",ROW(AA7:AA42)-MIN(ROW(AA7:AA42))+1))),ROW()-ROW(A$46)+1)),",",";"),",",INDEX(AD7:AD42,SMALL(IF(ISNUMBER(AA7:AA42),IF(AA7:AA42&gt;0,IF(AD7:AD42&lt;&gt;"",ROW(AA7:AA42)-MIN(ROW(AA7:AA42))+1))),ROW()-ROW(A$46)+1))),"")</f>
        <v>0</v>
      </c>
      <c r="AF63">
        <f t="array" ref="AF63">IFERROR(CONCATENATE(INDEX(AI7:AI42,SMALL(IF(ISNUMBER(AF7:AF42),IF(AF7:AF42&gt;0,IF(AI7:AI42&lt;&gt;"",ROW(AF7:AF42)-MIN(ROW(AF7:AF42))+1))),ROW()-ROW(A$45)+1)),"|",TEXT(INDEX(AF7:AF42,SMALL(IF(ISNUMBER(AF7:AF42),IF(AF7:AF42&gt;0,IF(AI7:AI42&lt;&gt;"",ROW(AF7:AF42)-MIN(ROW(AF7:AF42))+1))),ROW()-ROW(A$45)+1)),"##0"),"|",SUBSTITUTE(SUBSTITUTE(INDEX(IF(PURCHASE_DESCRIPTION&lt;&gt;"",PURCHASE_DESCRIPTION&amp;":","")&amp;A7:A42,SMALL(IF(ISNUMBER(AF7:AF42),IF(AF7:AF42&gt;0,IF(AI7:AI42&lt;&gt;"",ROW(AF7:AF42)-MIN(ROW(AF7:AF42))+1))),ROW()-ROW(A$45)+1)),"|",";")," ","_")),"")</f>
        <v>0</v>
      </c>
      <c r="AK63">
        <f t="array" ref="AK63">IFERROR(CONCATENATE(INDEX(AN7:AN42,SMALL(IF(ISNUMBER(AK7:AK42),IF(AK7:AK42&gt;0,IF(AN7:AN42&lt;&gt;"",ROW(AK7:AK42)-MIN(ROW(AK7:AK42))+1))),ROW()-ROW(A$45)+1)),",",TEXT(INDEX(AK7:AK42,SMALL(IF(ISNUMBER(AK7:AK42),IF(AK7:AK42&gt;0,IF(AN7:AN42&lt;&gt;"",ROW(AK7:AK42)-MIN(ROW(AK7:AK42))+1))),ROW()-ROW(A$45)+1)),"##0"),",",SUBSTITUTE(SUBSTITUTE(INDEX(IF(PURCHASE_DESCRIPTION&lt;&gt;"",PURCHASE_DESCRIPTION&amp;":","")&amp;A7:A42,SMALL(IF(ISNUMBER(AK7:AK42),IF(AK7:AK42&gt;0,IF(AN7:AN42&lt;&gt;"",ROW(AK7:AK42)-MIN(ROW(AK7:AK42))+1))),ROW()-ROW(A$45)+1)),",",";"),"
",";"),",",SUBSTITUTE(SUBSTITUTE(INDEX(IF(PURCHASE_DESCRIPTION&lt;&gt;"",PURCHASE_DESCRIPTION&amp;":","")&amp;C7:C42,SMALL(IF(ISNUMBER(AK7:AK42),IF(AK7:AK42&gt;0,IF(AN7:AN42&lt;&gt;"",ROW(AK7:AK42)-MIN(ROW(AK7:AK42))+1))),ROW()-ROW(A$45)+1)),",",";"),"
",";"),",",SUBSTITUTE(SUBSTITUTE(INDEX(IF(PURCHASE_DESCRIPTION&lt;&gt;"",PURCHASE_DESCRIPTION&amp;":","")&amp;F7:F42,SMALL(IF(ISNUMBER(AK7:AK42),IF(AK7:AK42&gt;0,IF(AN7:AN42&lt;&gt;"",ROW(AK7:AK42)-MIN(ROW(AK7:AK42))+1))),ROW()-ROW(A$45)+1)),",",";"),"
",";"),",",SUBSTITUTE(SUBSTITUTE(INDEX(IF(PURCHASE_DESCRIPTION&lt;&gt;"",PURCHASE_DESCRIPTION&amp;":","")&amp;D7:D42,SMALL(IF(ISNUMBER(AK7:AK42),IF(AK7:AK42&gt;0,IF(AN7:AN42&lt;&gt;"",ROW(AK7:AK42)-MIN(ROW(AK7:AK42))+1))),ROW()-ROW(A$45)+1)),",",";"),"
",";")),"")</f>
        <v>0</v>
      </c>
      <c r="AP63">
        <f t="array" ref="AP63">IFERROR(CONCATENATE(INDEX(AS7:AS42,SMALL(IF(ISNUMBER(AP7:AP42),IF(AP7:AP42&gt;0,IF(AS7:AS42&lt;&gt;"",ROW(AP7:AP42)-MIN(ROW(AP7:AP42))+1))),ROW()-ROW(A$45)+1)),",",TEXT(INDEX(AP7:AP42,SMALL(IF(ISNUMBER(AP7:AP42),IF(AP7:AP42&gt;0,IF(AS7:AS42&lt;&gt;"",ROW(AP7:AP42)-MIN(ROW(AP7:AP42))+1))),ROW()-ROW(A$45)+1)),"##0"),",",,",",,",",,",",INDEX(G7:G42,SMALL(IF(ISNUMBER(AP7:AP42),IF(AP7:AP42&gt;0,IF(AS7:AS42&lt;&gt;"",ROW(AP7:AP42)-MIN(ROW(AP7:AP42))+1))),ROW()-ROW(A$45)+1)),",",SUBSTITUTE(INDEX(IF(PURCHASE_DESCRIPTION&lt;&gt;"",PURCHASE_DESCRIPTION&amp;":","")&amp;A7:A42,SMALL(IF(ISNUMBER(AP7:AP42),IF(AP7:AP42&gt;0,IF(AS7:AS42&lt;&gt;"",ROW(AP7:AP42)-MIN(ROW(AP7:AP42))+1))),ROW()-ROW(A$45)+1)),",",";")),"")</f>
        <v>0</v>
      </c>
      <c r="AU63">
        <f t="array" ref="AU63">IFERROR(CONCATENATE(INDEX(AX7:AX42,SMALL(IF(ISNUMBER(AU7:AU42),IF(AU7:AU42&gt;0,IF(AX7:AX42&lt;&gt;"",ROW(AU7:AU42)-MIN(ROW(AU7:AU42))+1))),ROW()-ROW(A$45)+1))," ",TEXT(INDEX(AU7:AU42,SMALL(IF(ISNUMBER(AU7:AU42),IF(AU7:AU42&gt;0,IF(AX7:AX42&lt;&gt;"",ROW(AU7:AU42)-MIN(ROW(AU7:AU42))+1))),ROW()-ROW(A$45)+1)),"##0")," ",SUBSTITUTE(INDEX(IF(PURCHASE_DESCRIPTION&lt;&gt;"",PURCHASE_DESCRIPTION&amp;":","")&amp;A7:A42,SMALL(IF(ISNUMBER(AU7:AU42),IF(AU7:AU42&gt;0,IF(AX7:AX42&lt;&gt;"",ROW(AU7:AU42)-MIN(ROW(AU7:AU42))+1))),ROW()-ROW(A$45)+1))," ",";")),"")</f>
        <v>0</v>
      </c>
    </row>
    <row r="64" spans="12:47">
      <c r="L64">
        <f t="array" ref="L64">IFERROR(CONCATENATE(INDEX(O7:O42,SMALL(IF(ISNUMBER(L7:L42),IF(L7:L42&gt;0,IF(O7:O42&lt;&gt;"",ROW(L7:L42)-MIN(ROW(L7:L42))+1))),ROW()-ROW(A$45)+1)),",",TEXT(INDEX(L7:L42,SMALL(IF(ISNUMBER(L7:L42),IF(L7:L42&gt;0,IF(O7:O42&lt;&gt;"",ROW(L7:L42)-MIN(ROW(L7:L42))+1))),ROW()-ROW(A$45)+1)),"##0"),",",SUBSTITUTE(INDEX(IF(PURCHASE_DESCRIPTION&lt;&gt;"",PURCHASE_DESCRIPTION&amp;":","")&amp;A7:A42,SMALL(IF(ISNUMBER(L7:L42),IF(L7:L42&gt;0,IF(O7:O42&lt;&gt;"",ROW(L7:L42)-MIN(ROW(L7:L42))+1))),ROW()-ROW(A$45)+1)),",",";")),"")</f>
        <v>0</v>
      </c>
      <c r="Q64">
        <f t="array" ref="Q64">IFERROR(CONCATENATE(TEXT(INDEX(Q7:Q42,SMALL(IF(ISNUMBER(Q7:Q42),IF(Q7:Q42&gt;0,IF(T7:T42&lt;&gt;"",ROW(Q7:Q42)-MIN(ROW(Q7:Q42))+1))),ROW()-ROW(A$45)+1)),"##0"),",",INDEX(T7:T42,SMALL(IF(ISNUMBER(Q7:Q42),IF(Q7:Q42&gt;0,IF(T7:T42&lt;&gt;"",ROW(Q7:Q42)-MIN(ROW(Q7:Q42))+1))),ROW()-ROW(A$45)+1)),",",SUBSTITUTE(INDEX(IF(PURCHASE_DESCRIPTION&lt;&gt;"",PURCHASE_DESCRIPTION&amp;":","")&amp;A7:A42,SMALL(IF(ISNUMBER(Q7:Q42),IF(Q7:Q42&gt;0,IF(T7:T42&lt;&gt;"",ROW(Q7:Q42)-MIN(ROW(Q7:Q42))+1))),ROW()-ROW(A$45)+1)),",",";")),"")</f>
        <v>0</v>
      </c>
      <c r="V64">
        <f t="array" ref="V64">IFERROR(CONCATENATE(INDEX(Y7:Y42,SMALL(IF(ISNUMBER(V7:V42),IF(V7:V42&gt;0,IF(Y7:Y42&lt;&gt;"",ROW(V7:V42)-MIN(ROW(V7:V42))+1))),ROW()-ROW(A$45)+1)),",",TEXT(INDEX(V7:V42,SMALL(IF(ISNUMBER(V7:V42),IF(V7:V42&gt;0,IF(Y7:Y42&lt;&gt;"",ROW(V7:V42)-MIN(ROW(V7:V42))+1))),ROW()-ROW(A$45)+1)),"##0"),",",SUBSTITUTE(SUBSTITUTE(INDEX(IF(PURCHASE_DESCRIPTION&lt;&gt;"",PURCHASE_DESCRIPTION&amp;":","")&amp;A7:A42,SMALL(IF(ISNUMBER(V7:V42),IF(V7:V42&gt;0,IF(Y7:Y42&lt;&gt;"",ROW(V7:V42)-MIN(ROW(V7:V42))+1))),ROW()-ROW(A$45)+1)),",",";"),"
",";"),",",SUBSTITUTE(SUBSTITUTE(INDEX(IF(PURCHASE_DESCRIPTION&lt;&gt;"",PURCHASE_DESCRIPTION&amp;":","")&amp;C7:C42,SMALL(IF(ISNUMBER(V7:V42),IF(V7:V42&gt;0,IF(Y7:Y42&lt;&gt;"",ROW(V7:V42)-MIN(ROW(V7:V42))+1))),ROW()-ROW(A$45)+1)),",",";"),"
",";"),",",SUBSTITUTE(SUBSTITUTE(INDEX(IF(PURCHASE_DESCRIPTION&lt;&gt;"",PURCHASE_DESCRIPTION&amp;":","")&amp;F7:F42,SMALL(IF(ISNUMBER(V7:V42),IF(V7:V42&gt;0,IF(Y7:Y42&lt;&gt;"",ROW(V7:V42)-MIN(ROW(V7:V42))+1))),ROW()-ROW(A$45)+1)),",",";"),"
",";"),",",SUBSTITUTE(SUBSTITUTE(INDEX(IF(PURCHASE_DESCRIPTION&lt;&gt;"",PURCHASE_DESCRIPTION&amp;":","")&amp;D7:D42,SMALL(IF(ISNUMBER(V7:V42),IF(V7:V42&gt;0,IF(Y7:Y42&lt;&gt;"",ROW(V7:V42)-MIN(ROW(V7:V42))+1))),ROW()-ROW(A$45)+1)),",",";"),"
",";")),"")</f>
        <v>0</v>
      </c>
      <c r="AA64">
        <f t="array" ref="AA64">IFERROR(CONCATENATE(TEXT(INDEX(AA7:AA42,SMALL(IF(ISNUMBER(AA7:AA42),IF(AA7:AA42&gt;0,IF(AD7:AD42&lt;&gt;"",ROW(AA7:AA42)-MIN(ROW(AA7:AA42))+1))),ROW()-ROW(A$46)+1)),"##0"),",",SUBSTITUTE(INDEX(IF(PURCHASE_DESCRIPTION&lt;&gt;"",PURCHASE_DESCRIPTION&amp;":","")&amp;A7:A42,SMALL(IF(ISNUMBER(AA7:AA42),IF(AA7:AA42&gt;0,IF(AD7:AD42&lt;&gt;"",ROW(AA7:AA42)-MIN(ROW(AA7:AA42))+1))),ROW()-ROW(A$46)+1)),",",";"),",",SUBSTITUTE(INDEX(IF(PURCHASE_DESCRIPTION&lt;&gt;"",PURCHASE_DESCRIPTION&amp;":","")&amp;E7:E42,SMALL(IF(ISNUMBER(AA7:AA42),IF(AA7:AA42&gt;0,IF(AD7:AD42&lt;&gt;"",ROW(AA7:AA42)-MIN(ROW(AA7:AA42))+1))),ROW()-ROW(A$46)+1)),",",";"),",",INDEX(AD7:AD42,SMALL(IF(ISNUMBER(AA7:AA42),IF(AA7:AA42&gt;0,IF(AD7:AD42&lt;&gt;"",ROW(AA7:AA42)-MIN(ROW(AA7:AA42))+1))),ROW()-ROW(A$46)+1))),"")</f>
        <v>0</v>
      </c>
      <c r="AF64">
        <f t="array" ref="AF64">IFERROR(CONCATENATE(INDEX(AI7:AI42,SMALL(IF(ISNUMBER(AF7:AF42),IF(AF7:AF42&gt;0,IF(AI7:AI42&lt;&gt;"",ROW(AF7:AF42)-MIN(ROW(AF7:AF42))+1))),ROW()-ROW(A$45)+1)),"|",TEXT(INDEX(AF7:AF42,SMALL(IF(ISNUMBER(AF7:AF42),IF(AF7:AF42&gt;0,IF(AI7:AI42&lt;&gt;"",ROW(AF7:AF42)-MIN(ROW(AF7:AF42))+1))),ROW()-ROW(A$45)+1)),"##0"),"|",SUBSTITUTE(SUBSTITUTE(INDEX(IF(PURCHASE_DESCRIPTION&lt;&gt;"",PURCHASE_DESCRIPTION&amp;":","")&amp;A7:A42,SMALL(IF(ISNUMBER(AF7:AF42),IF(AF7:AF42&gt;0,IF(AI7:AI42&lt;&gt;"",ROW(AF7:AF42)-MIN(ROW(AF7:AF42))+1))),ROW()-ROW(A$45)+1)),"|",";")," ","_")),"")</f>
        <v>0</v>
      </c>
      <c r="AK64">
        <f t="array" ref="AK64">IFERROR(CONCATENATE(INDEX(AN7:AN42,SMALL(IF(ISNUMBER(AK7:AK42),IF(AK7:AK42&gt;0,IF(AN7:AN42&lt;&gt;"",ROW(AK7:AK42)-MIN(ROW(AK7:AK42))+1))),ROW()-ROW(A$45)+1)),",",TEXT(INDEX(AK7:AK42,SMALL(IF(ISNUMBER(AK7:AK42),IF(AK7:AK42&gt;0,IF(AN7:AN42&lt;&gt;"",ROW(AK7:AK42)-MIN(ROW(AK7:AK42))+1))),ROW()-ROW(A$45)+1)),"##0"),",",SUBSTITUTE(SUBSTITUTE(INDEX(IF(PURCHASE_DESCRIPTION&lt;&gt;"",PURCHASE_DESCRIPTION&amp;":","")&amp;A7:A42,SMALL(IF(ISNUMBER(AK7:AK42),IF(AK7:AK42&gt;0,IF(AN7:AN42&lt;&gt;"",ROW(AK7:AK42)-MIN(ROW(AK7:AK42))+1))),ROW()-ROW(A$45)+1)),",",";"),"
",";"),",",SUBSTITUTE(SUBSTITUTE(INDEX(IF(PURCHASE_DESCRIPTION&lt;&gt;"",PURCHASE_DESCRIPTION&amp;":","")&amp;C7:C42,SMALL(IF(ISNUMBER(AK7:AK42),IF(AK7:AK42&gt;0,IF(AN7:AN42&lt;&gt;"",ROW(AK7:AK42)-MIN(ROW(AK7:AK42))+1))),ROW()-ROW(A$45)+1)),",",";"),"
",";"),",",SUBSTITUTE(SUBSTITUTE(INDEX(IF(PURCHASE_DESCRIPTION&lt;&gt;"",PURCHASE_DESCRIPTION&amp;":","")&amp;F7:F42,SMALL(IF(ISNUMBER(AK7:AK42),IF(AK7:AK42&gt;0,IF(AN7:AN42&lt;&gt;"",ROW(AK7:AK42)-MIN(ROW(AK7:AK42))+1))),ROW()-ROW(A$45)+1)),",",";"),"
",";"),",",SUBSTITUTE(SUBSTITUTE(INDEX(IF(PURCHASE_DESCRIPTION&lt;&gt;"",PURCHASE_DESCRIPTION&amp;":","")&amp;D7:D42,SMALL(IF(ISNUMBER(AK7:AK42),IF(AK7:AK42&gt;0,IF(AN7:AN42&lt;&gt;"",ROW(AK7:AK42)-MIN(ROW(AK7:AK42))+1))),ROW()-ROW(A$45)+1)),",",";"),"
",";")),"")</f>
        <v>0</v>
      </c>
      <c r="AP64">
        <f t="array" ref="AP64">IFERROR(CONCATENATE(INDEX(AS7:AS42,SMALL(IF(ISNUMBER(AP7:AP42),IF(AP7:AP42&gt;0,IF(AS7:AS42&lt;&gt;"",ROW(AP7:AP42)-MIN(ROW(AP7:AP42))+1))),ROW()-ROW(A$45)+1)),",",TEXT(INDEX(AP7:AP42,SMALL(IF(ISNUMBER(AP7:AP42),IF(AP7:AP42&gt;0,IF(AS7:AS42&lt;&gt;"",ROW(AP7:AP42)-MIN(ROW(AP7:AP42))+1))),ROW()-ROW(A$45)+1)),"##0"),",",,",",,",",,",",INDEX(G7:G42,SMALL(IF(ISNUMBER(AP7:AP42),IF(AP7:AP42&gt;0,IF(AS7:AS42&lt;&gt;"",ROW(AP7:AP42)-MIN(ROW(AP7:AP42))+1))),ROW()-ROW(A$45)+1)),",",SUBSTITUTE(INDEX(IF(PURCHASE_DESCRIPTION&lt;&gt;"",PURCHASE_DESCRIPTION&amp;":","")&amp;A7:A42,SMALL(IF(ISNUMBER(AP7:AP42),IF(AP7:AP42&gt;0,IF(AS7:AS42&lt;&gt;"",ROW(AP7:AP42)-MIN(ROW(AP7:AP42))+1))),ROW()-ROW(A$45)+1)),",",";")),"")</f>
        <v>0</v>
      </c>
      <c r="AU64">
        <f t="array" ref="AU64">IFERROR(CONCATENATE(INDEX(AX7:AX42,SMALL(IF(ISNUMBER(AU7:AU42),IF(AU7:AU42&gt;0,IF(AX7:AX42&lt;&gt;"",ROW(AU7:AU42)-MIN(ROW(AU7:AU42))+1))),ROW()-ROW(A$45)+1))," ",TEXT(INDEX(AU7:AU42,SMALL(IF(ISNUMBER(AU7:AU42),IF(AU7:AU42&gt;0,IF(AX7:AX42&lt;&gt;"",ROW(AU7:AU42)-MIN(ROW(AU7:AU42))+1))),ROW()-ROW(A$45)+1)),"##0")," ",SUBSTITUTE(INDEX(IF(PURCHASE_DESCRIPTION&lt;&gt;"",PURCHASE_DESCRIPTION&amp;":","")&amp;A7:A42,SMALL(IF(ISNUMBER(AU7:AU42),IF(AU7:AU42&gt;0,IF(AX7:AX42&lt;&gt;"",ROW(AU7:AU42)-MIN(ROW(AU7:AU42))+1))),ROW()-ROW(A$45)+1))," ",";")),"")</f>
        <v>0</v>
      </c>
    </row>
    <row r="65" spans="12:47">
      <c r="L65">
        <f t="array" ref="L65">IFERROR(CONCATENATE(INDEX(O7:O42,SMALL(IF(ISNUMBER(L7:L42),IF(L7:L42&gt;0,IF(O7:O42&lt;&gt;"",ROW(L7:L42)-MIN(ROW(L7:L42))+1))),ROW()-ROW(A$45)+1)),",",TEXT(INDEX(L7:L42,SMALL(IF(ISNUMBER(L7:L42),IF(L7:L42&gt;0,IF(O7:O42&lt;&gt;"",ROW(L7:L42)-MIN(ROW(L7:L42))+1))),ROW()-ROW(A$45)+1)),"##0"),",",SUBSTITUTE(INDEX(IF(PURCHASE_DESCRIPTION&lt;&gt;"",PURCHASE_DESCRIPTION&amp;":","")&amp;A7:A42,SMALL(IF(ISNUMBER(L7:L42),IF(L7:L42&gt;0,IF(O7:O42&lt;&gt;"",ROW(L7:L42)-MIN(ROW(L7:L42))+1))),ROW()-ROW(A$45)+1)),",",";")),"")</f>
        <v>0</v>
      </c>
      <c r="Q65">
        <f t="array" ref="Q65">IFERROR(CONCATENATE(TEXT(INDEX(Q7:Q42,SMALL(IF(ISNUMBER(Q7:Q42),IF(Q7:Q42&gt;0,IF(T7:T42&lt;&gt;"",ROW(Q7:Q42)-MIN(ROW(Q7:Q42))+1))),ROW()-ROW(A$45)+1)),"##0"),",",INDEX(T7:T42,SMALL(IF(ISNUMBER(Q7:Q42),IF(Q7:Q42&gt;0,IF(T7:T42&lt;&gt;"",ROW(Q7:Q42)-MIN(ROW(Q7:Q42))+1))),ROW()-ROW(A$45)+1)),",",SUBSTITUTE(INDEX(IF(PURCHASE_DESCRIPTION&lt;&gt;"",PURCHASE_DESCRIPTION&amp;":","")&amp;A7:A42,SMALL(IF(ISNUMBER(Q7:Q42),IF(Q7:Q42&gt;0,IF(T7:T42&lt;&gt;"",ROW(Q7:Q42)-MIN(ROW(Q7:Q42))+1))),ROW()-ROW(A$45)+1)),",",";")),"")</f>
        <v>0</v>
      </c>
      <c r="V65">
        <f t="array" ref="V65">IFERROR(CONCATENATE(INDEX(Y7:Y42,SMALL(IF(ISNUMBER(V7:V42),IF(V7:V42&gt;0,IF(Y7:Y42&lt;&gt;"",ROW(V7:V42)-MIN(ROW(V7:V42))+1))),ROW()-ROW(A$45)+1)),",",TEXT(INDEX(V7:V42,SMALL(IF(ISNUMBER(V7:V42),IF(V7:V42&gt;0,IF(Y7:Y42&lt;&gt;"",ROW(V7:V42)-MIN(ROW(V7:V42))+1))),ROW()-ROW(A$45)+1)),"##0"),",",SUBSTITUTE(SUBSTITUTE(INDEX(IF(PURCHASE_DESCRIPTION&lt;&gt;"",PURCHASE_DESCRIPTION&amp;":","")&amp;A7:A42,SMALL(IF(ISNUMBER(V7:V42),IF(V7:V42&gt;0,IF(Y7:Y42&lt;&gt;"",ROW(V7:V42)-MIN(ROW(V7:V42))+1))),ROW()-ROW(A$45)+1)),",",";"),"
",";"),",",SUBSTITUTE(SUBSTITUTE(INDEX(IF(PURCHASE_DESCRIPTION&lt;&gt;"",PURCHASE_DESCRIPTION&amp;":","")&amp;C7:C42,SMALL(IF(ISNUMBER(V7:V42),IF(V7:V42&gt;0,IF(Y7:Y42&lt;&gt;"",ROW(V7:V42)-MIN(ROW(V7:V42))+1))),ROW()-ROW(A$45)+1)),",",";"),"
",";"),",",SUBSTITUTE(SUBSTITUTE(INDEX(IF(PURCHASE_DESCRIPTION&lt;&gt;"",PURCHASE_DESCRIPTION&amp;":","")&amp;F7:F42,SMALL(IF(ISNUMBER(V7:V42),IF(V7:V42&gt;0,IF(Y7:Y42&lt;&gt;"",ROW(V7:V42)-MIN(ROW(V7:V42))+1))),ROW()-ROW(A$45)+1)),",",";"),"
",";"),",",SUBSTITUTE(SUBSTITUTE(INDEX(IF(PURCHASE_DESCRIPTION&lt;&gt;"",PURCHASE_DESCRIPTION&amp;":","")&amp;D7:D42,SMALL(IF(ISNUMBER(V7:V42),IF(V7:V42&gt;0,IF(Y7:Y42&lt;&gt;"",ROW(V7:V42)-MIN(ROW(V7:V42))+1))),ROW()-ROW(A$45)+1)),",",";"),"
",";")),"")</f>
        <v>0</v>
      </c>
      <c r="AA65">
        <f t="array" ref="AA65">IFERROR(CONCATENATE(TEXT(INDEX(AA7:AA42,SMALL(IF(ISNUMBER(AA7:AA42),IF(AA7:AA42&gt;0,IF(AD7:AD42&lt;&gt;"",ROW(AA7:AA42)-MIN(ROW(AA7:AA42))+1))),ROW()-ROW(A$46)+1)),"##0"),",",SUBSTITUTE(INDEX(IF(PURCHASE_DESCRIPTION&lt;&gt;"",PURCHASE_DESCRIPTION&amp;":","")&amp;A7:A42,SMALL(IF(ISNUMBER(AA7:AA42),IF(AA7:AA42&gt;0,IF(AD7:AD42&lt;&gt;"",ROW(AA7:AA42)-MIN(ROW(AA7:AA42))+1))),ROW()-ROW(A$46)+1)),",",";"),",",SUBSTITUTE(INDEX(IF(PURCHASE_DESCRIPTION&lt;&gt;"",PURCHASE_DESCRIPTION&amp;":","")&amp;E7:E42,SMALL(IF(ISNUMBER(AA7:AA42),IF(AA7:AA42&gt;0,IF(AD7:AD42&lt;&gt;"",ROW(AA7:AA42)-MIN(ROW(AA7:AA42))+1))),ROW()-ROW(A$46)+1)),",",";"),",",INDEX(AD7:AD42,SMALL(IF(ISNUMBER(AA7:AA42),IF(AA7:AA42&gt;0,IF(AD7:AD42&lt;&gt;"",ROW(AA7:AA42)-MIN(ROW(AA7:AA42))+1))),ROW()-ROW(A$46)+1))),"")</f>
        <v>0</v>
      </c>
      <c r="AF65">
        <f t="array" ref="AF65">IFERROR(CONCATENATE(INDEX(AI7:AI42,SMALL(IF(ISNUMBER(AF7:AF42),IF(AF7:AF42&gt;0,IF(AI7:AI42&lt;&gt;"",ROW(AF7:AF42)-MIN(ROW(AF7:AF42))+1))),ROW()-ROW(A$45)+1)),"|",TEXT(INDEX(AF7:AF42,SMALL(IF(ISNUMBER(AF7:AF42),IF(AF7:AF42&gt;0,IF(AI7:AI42&lt;&gt;"",ROW(AF7:AF42)-MIN(ROW(AF7:AF42))+1))),ROW()-ROW(A$45)+1)),"##0"),"|",SUBSTITUTE(SUBSTITUTE(INDEX(IF(PURCHASE_DESCRIPTION&lt;&gt;"",PURCHASE_DESCRIPTION&amp;":","")&amp;A7:A42,SMALL(IF(ISNUMBER(AF7:AF42),IF(AF7:AF42&gt;0,IF(AI7:AI42&lt;&gt;"",ROW(AF7:AF42)-MIN(ROW(AF7:AF42))+1))),ROW()-ROW(A$45)+1)),"|",";")," ","_")),"")</f>
        <v>0</v>
      </c>
      <c r="AK65">
        <f t="array" ref="AK65">IFERROR(CONCATENATE(INDEX(AN7:AN42,SMALL(IF(ISNUMBER(AK7:AK42),IF(AK7:AK42&gt;0,IF(AN7:AN42&lt;&gt;"",ROW(AK7:AK42)-MIN(ROW(AK7:AK42))+1))),ROW()-ROW(A$45)+1)),",",TEXT(INDEX(AK7:AK42,SMALL(IF(ISNUMBER(AK7:AK42),IF(AK7:AK42&gt;0,IF(AN7:AN42&lt;&gt;"",ROW(AK7:AK42)-MIN(ROW(AK7:AK42))+1))),ROW()-ROW(A$45)+1)),"##0"),",",SUBSTITUTE(SUBSTITUTE(INDEX(IF(PURCHASE_DESCRIPTION&lt;&gt;"",PURCHASE_DESCRIPTION&amp;":","")&amp;A7:A42,SMALL(IF(ISNUMBER(AK7:AK42),IF(AK7:AK42&gt;0,IF(AN7:AN42&lt;&gt;"",ROW(AK7:AK42)-MIN(ROW(AK7:AK42))+1))),ROW()-ROW(A$45)+1)),",",";"),"
",";"),",",SUBSTITUTE(SUBSTITUTE(INDEX(IF(PURCHASE_DESCRIPTION&lt;&gt;"",PURCHASE_DESCRIPTION&amp;":","")&amp;C7:C42,SMALL(IF(ISNUMBER(AK7:AK42),IF(AK7:AK42&gt;0,IF(AN7:AN42&lt;&gt;"",ROW(AK7:AK42)-MIN(ROW(AK7:AK42))+1))),ROW()-ROW(A$45)+1)),",",";"),"
",";"),",",SUBSTITUTE(SUBSTITUTE(INDEX(IF(PURCHASE_DESCRIPTION&lt;&gt;"",PURCHASE_DESCRIPTION&amp;":","")&amp;F7:F42,SMALL(IF(ISNUMBER(AK7:AK42),IF(AK7:AK42&gt;0,IF(AN7:AN42&lt;&gt;"",ROW(AK7:AK42)-MIN(ROW(AK7:AK42))+1))),ROW()-ROW(A$45)+1)),",",";"),"
",";"),",",SUBSTITUTE(SUBSTITUTE(INDEX(IF(PURCHASE_DESCRIPTION&lt;&gt;"",PURCHASE_DESCRIPTION&amp;":","")&amp;D7:D42,SMALL(IF(ISNUMBER(AK7:AK42),IF(AK7:AK42&gt;0,IF(AN7:AN42&lt;&gt;"",ROW(AK7:AK42)-MIN(ROW(AK7:AK42))+1))),ROW()-ROW(A$45)+1)),",",";"),"
",";")),"")</f>
        <v>0</v>
      </c>
      <c r="AP65">
        <f t="array" ref="AP65">IFERROR(CONCATENATE(INDEX(AS7:AS42,SMALL(IF(ISNUMBER(AP7:AP42),IF(AP7:AP42&gt;0,IF(AS7:AS42&lt;&gt;"",ROW(AP7:AP42)-MIN(ROW(AP7:AP42))+1))),ROW()-ROW(A$45)+1)),",",TEXT(INDEX(AP7:AP42,SMALL(IF(ISNUMBER(AP7:AP42),IF(AP7:AP42&gt;0,IF(AS7:AS42&lt;&gt;"",ROW(AP7:AP42)-MIN(ROW(AP7:AP42))+1))),ROW()-ROW(A$45)+1)),"##0"),",",,",",,",",,",",INDEX(G7:G42,SMALL(IF(ISNUMBER(AP7:AP42),IF(AP7:AP42&gt;0,IF(AS7:AS42&lt;&gt;"",ROW(AP7:AP42)-MIN(ROW(AP7:AP42))+1))),ROW()-ROW(A$45)+1)),",",SUBSTITUTE(INDEX(IF(PURCHASE_DESCRIPTION&lt;&gt;"",PURCHASE_DESCRIPTION&amp;":","")&amp;A7:A42,SMALL(IF(ISNUMBER(AP7:AP42),IF(AP7:AP42&gt;0,IF(AS7:AS42&lt;&gt;"",ROW(AP7:AP42)-MIN(ROW(AP7:AP42))+1))),ROW()-ROW(A$45)+1)),",",";")),"")</f>
        <v>0</v>
      </c>
      <c r="AU65">
        <f t="array" ref="AU65">IFERROR(CONCATENATE(INDEX(AX7:AX42,SMALL(IF(ISNUMBER(AU7:AU42),IF(AU7:AU42&gt;0,IF(AX7:AX42&lt;&gt;"",ROW(AU7:AU42)-MIN(ROW(AU7:AU42))+1))),ROW()-ROW(A$45)+1))," ",TEXT(INDEX(AU7:AU42,SMALL(IF(ISNUMBER(AU7:AU42),IF(AU7:AU42&gt;0,IF(AX7:AX42&lt;&gt;"",ROW(AU7:AU42)-MIN(ROW(AU7:AU42))+1))),ROW()-ROW(A$45)+1)),"##0")," ",SUBSTITUTE(INDEX(IF(PURCHASE_DESCRIPTION&lt;&gt;"",PURCHASE_DESCRIPTION&amp;":","")&amp;A7:A42,SMALL(IF(ISNUMBER(AU7:AU42),IF(AU7:AU42&gt;0,IF(AX7:AX42&lt;&gt;"",ROW(AU7:AU42)-MIN(ROW(AU7:AU42))+1))),ROW()-ROW(A$45)+1))," ",";")),"")</f>
        <v>0</v>
      </c>
    </row>
    <row r="66" spans="12:47">
      <c r="L66">
        <f t="array" ref="L66">IFERROR(CONCATENATE(INDEX(O7:O42,SMALL(IF(ISNUMBER(L7:L42),IF(L7:L42&gt;0,IF(O7:O42&lt;&gt;"",ROW(L7:L42)-MIN(ROW(L7:L42))+1))),ROW()-ROW(A$45)+1)),",",TEXT(INDEX(L7:L42,SMALL(IF(ISNUMBER(L7:L42),IF(L7:L42&gt;0,IF(O7:O42&lt;&gt;"",ROW(L7:L42)-MIN(ROW(L7:L42))+1))),ROW()-ROW(A$45)+1)),"##0"),",",SUBSTITUTE(INDEX(IF(PURCHASE_DESCRIPTION&lt;&gt;"",PURCHASE_DESCRIPTION&amp;":","")&amp;A7:A42,SMALL(IF(ISNUMBER(L7:L42),IF(L7:L42&gt;0,IF(O7:O42&lt;&gt;"",ROW(L7:L42)-MIN(ROW(L7:L42))+1))),ROW()-ROW(A$45)+1)),",",";")),"")</f>
        <v>0</v>
      </c>
      <c r="Q66">
        <f t="array" ref="Q66">IFERROR(CONCATENATE(TEXT(INDEX(Q7:Q42,SMALL(IF(ISNUMBER(Q7:Q42),IF(Q7:Q42&gt;0,IF(T7:T42&lt;&gt;"",ROW(Q7:Q42)-MIN(ROW(Q7:Q42))+1))),ROW()-ROW(A$45)+1)),"##0"),",",INDEX(T7:T42,SMALL(IF(ISNUMBER(Q7:Q42),IF(Q7:Q42&gt;0,IF(T7:T42&lt;&gt;"",ROW(Q7:Q42)-MIN(ROW(Q7:Q42))+1))),ROW()-ROW(A$45)+1)),",",SUBSTITUTE(INDEX(IF(PURCHASE_DESCRIPTION&lt;&gt;"",PURCHASE_DESCRIPTION&amp;":","")&amp;A7:A42,SMALL(IF(ISNUMBER(Q7:Q42),IF(Q7:Q42&gt;0,IF(T7:T42&lt;&gt;"",ROW(Q7:Q42)-MIN(ROW(Q7:Q42))+1))),ROW()-ROW(A$45)+1)),",",";")),"")</f>
        <v>0</v>
      </c>
      <c r="V66">
        <f t="array" ref="V66">IFERROR(CONCATENATE(INDEX(Y7:Y42,SMALL(IF(ISNUMBER(V7:V42),IF(V7:V42&gt;0,IF(Y7:Y42&lt;&gt;"",ROW(V7:V42)-MIN(ROW(V7:V42))+1))),ROW()-ROW(A$45)+1)),",",TEXT(INDEX(V7:V42,SMALL(IF(ISNUMBER(V7:V42),IF(V7:V42&gt;0,IF(Y7:Y42&lt;&gt;"",ROW(V7:V42)-MIN(ROW(V7:V42))+1))),ROW()-ROW(A$45)+1)),"##0"),",",SUBSTITUTE(SUBSTITUTE(INDEX(IF(PURCHASE_DESCRIPTION&lt;&gt;"",PURCHASE_DESCRIPTION&amp;":","")&amp;A7:A42,SMALL(IF(ISNUMBER(V7:V42),IF(V7:V42&gt;0,IF(Y7:Y42&lt;&gt;"",ROW(V7:V42)-MIN(ROW(V7:V42))+1))),ROW()-ROW(A$45)+1)),",",";"),"
",";"),",",SUBSTITUTE(SUBSTITUTE(INDEX(IF(PURCHASE_DESCRIPTION&lt;&gt;"",PURCHASE_DESCRIPTION&amp;":","")&amp;C7:C42,SMALL(IF(ISNUMBER(V7:V42),IF(V7:V42&gt;0,IF(Y7:Y42&lt;&gt;"",ROW(V7:V42)-MIN(ROW(V7:V42))+1))),ROW()-ROW(A$45)+1)),",",";"),"
",";"),",",SUBSTITUTE(SUBSTITUTE(INDEX(IF(PURCHASE_DESCRIPTION&lt;&gt;"",PURCHASE_DESCRIPTION&amp;":","")&amp;F7:F42,SMALL(IF(ISNUMBER(V7:V42),IF(V7:V42&gt;0,IF(Y7:Y42&lt;&gt;"",ROW(V7:V42)-MIN(ROW(V7:V42))+1))),ROW()-ROW(A$45)+1)),",",";"),"
",";"),",",SUBSTITUTE(SUBSTITUTE(INDEX(IF(PURCHASE_DESCRIPTION&lt;&gt;"",PURCHASE_DESCRIPTION&amp;":","")&amp;D7:D42,SMALL(IF(ISNUMBER(V7:V42),IF(V7:V42&gt;0,IF(Y7:Y42&lt;&gt;"",ROW(V7:V42)-MIN(ROW(V7:V42))+1))),ROW()-ROW(A$45)+1)),",",";"),"
",";")),"")</f>
        <v>0</v>
      </c>
      <c r="AA66">
        <f t="array" ref="AA66">IFERROR(CONCATENATE(TEXT(INDEX(AA7:AA42,SMALL(IF(ISNUMBER(AA7:AA42),IF(AA7:AA42&gt;0,IF(AD7:AD42&lt;&gt;"",ROW(AA7:AA42)-MIN(ROW(AA7:AA42))+1))),ROW()-ROW(A$46)+1)),"##0"),",",SUBSTITUTE(INDEX(IF(PURCHASE_DESCRIPTION&lt;&gt;"",PURCHASE_DESCRIPTION&amp;":","")&amp;A7:A42,SMALL(IF(ISNUMBER(AA7:AA42),IF(AA7:AA42&gt;0,IF(AD7:AD42&lt;&gt;"",ROW(AA7:AA42)-MIN(ROW(AA7:AA42))+1))),ROW()-ROW(A$46)+1)),",",";"),",",SUBSTITUTE(INDEX(IF(PURCHASE_DESCRIPTION&lt;&gt;"",PURCHASE_DESCRIPTION&amp;":","")&amp;E7:E42,SMALL(IF(ISNUMBER(AA7:AA42),IF(AA7:AA42&gt;0,IF(AD7:AD42&lt;&gt;"",ROW(AA7:AA42)-MIN(ROW(AA7:AA42))+1))),ROW()-ROW(A$46)+1)),",",";"),",",INDEX(AD7:AD42,SMALL(IF(ISNUMBER(AA7:AA42),IF(AA7:AA42&gt;0,IF(AD7:AD42&lt;&gt;"",ROW(AA7:AA42)-MIN(ROW(AA7:AA42))+1))),ROW()-ROW(A$46)+1))),"")</f>
        <v>0</v>
      </c>
      <c r="AF66">
        <f t="array" ref="AF66">IFERROR(CONCATENATE(INDEX(AI7:AI42,SMALL(IF(ISNUMBER(AF7:AF42),IF(AF7:AF42&gt;0,IF(AI7:AI42&lt;&gt;"",ROW(AF7:AF42)-MIN(ROW(AF7:AF42))+1))),ROW()-ROW(A$45)+1)),"|",TEXT(INDEX(AF7:AF42,SMALL(IF(ISNUMBER(AF7:AF42),IF(AF7:AF42&gt;0,IF(AI7:AI42&lt;&gt;"",ROW(AF7:AF42)-MIN(ROW(AF7:AF42))+1))),ROW()-ROW(A$45)+1)),"##0"),"|",SUBSTITUTE(SUBSTITUTE(INDEX(IF(PURCHASE_DESCRIPTION&lt;&gt;"",PURCHASE_DESCRIPTION&amp;":","")&amp;A7:A42,SMALL(IF(ISNUMBER(AF7:AF42),IF(AF7:AF42&gt;0,IF(AI7:AI42&lt;&gt;"",ROW(AF7:AF42)-MIN(ROW(AF7:AF42))+1))),ROW()-ROW(A$45)+1)),"|",";")," ","_")),"")</f>
        <v>0</v>
      </c>
      <c r="AK66">
        <f t="array" ref="AK66">IFERROR(CONCATENATE(INDEX(AN7:AN42,SMALL(IF(ISNUMBER(AK7:AK42),IF(AK7:AK42&gt;0,IF(AN7:AN42&lt;&gt;"",ROW(AK7:AK42)-MIN(ROW(AK7:AK42))+1))),ROW()-ROW(A$45)+1)),",",TEXT(INDEX(AK7:AK42,SMALL(IF(ISNUMBER(AK7:AK42),IF(AK7:AK42&gt;0,IF(AN7:AN42&lt;&gt;"",ROW(AK7:AK42)-MIN(ROW(AK7:AK42))+1))),ROW()-ROW(A$45)+1)),"##0"),",",SUBSTITUTE(SUBSTITUTE(INDEX(IF(PURCHASE_DESCRIPTION&lt;&gt;"",PURCHASE_DESCRIPTION&amp;":","")&amp;A7:A42,SMALL(IF(ISNUMBER(AK7:AK42),IF(AK7:AK42&gt;0,IF(AN7:AN42&lt;&gt;"",ROW(AK7:AK42)-MIN(ROW(AK7:AK42))+1))),ROW()-ROW(A$45)+1)),",",";"),"
",";"),",",SUBSTITUTE(SUBSTITUTE(INDEX(IF(PURCHASE_DESCRIPTION&lt;&gt;"",PURCHASE_DESCRIPTION&amp;":","")&amp;C7:C42,SMALL(IF(ISNUMBER(AK7:AK42),IF(AK7:AK42&gt;0,IF(AN7:AN42&lt;&gt;"",ROW(AK7:AK42)-MIN(ROW(AK7:AK42))+1))),ROW()-ROW(A$45)+1)),",",";"),"
",";"),",",SUBSTITUTE(SUBSTITUTE(INDEX(IF(PURCHASE_DESCRIPTION&lt;&gt;"",PURCHASE_DESCRIPTION&amp;":","")&amp;F7:F42,SMALL(IF(ISNUMBER(AK7:AK42),IF(AK7:AK42&gt;0,IF(AN7:AN42&lt;&gt;"",ROW(AK7:AK42)-MIN(ROW(AK7:AK42))+1))),ROW()-ROW(A$45)+1)),",",";"),"
",";"),",",SUBSTITUTE(SUBSTITUTE(INDEX(IF(PURCHASE_DESCRIPTION&lt;&gt;"",PURCHASE_DESCRIPTION&amp;":","")&amp;D7:D42,SMALL(IF(ISNUMBER(AK7:AK42),IF(AK7:AK42&gt;0,IF(AN7:AN42&lt;&gt;"",ROW(AK7:AK42)-MIN(ROW(AK7:AK42))+1))),ROW()-ROW(A$45)+1)),",",";"),"
",";")),"")</f>
        <v>0</v>
      </c>
      <c r="AP66">
        <f t="array" ref="AP66">IFERROR(CONCATENATE(INDEX(AS7:AS42,SMALL(IF(ISNUMBER(AP7:AP42),IF(AP7:AP42&gt;0,IF(AS7:AS42&lt;&gt;"",ROW(AP7:AP42)-MIN(ROW(AP7:AP42))+1))),ROW()-ROW(A$45)+1)),",",TEXT(INDEX(AP7:AP42,SMALL(IF(ISNUMBER(AP7:AP42),IF(AP7:AP42&gt;0,IF(AS7:AS42&lt;&gt;"",ROW(AP7:AP42)-MIN(ROW(AP7:AP42))+1))),ROW()-ROW(A$45)+1)),"##0"),",",,",",,",",,",",INDEX(G7:G42,SMALL(IF(ISNUMBER(AP7:AP42),IF(AP7:AP42&gt;0,IF(AS7:AS42&lt;&gt;"",ROW(AP7:AP42)-MIN(ROW(AP7:AP42))+1))),ROW()-ROW(A$45)+1)),",",SUBSTITUTE(INDEX(IF(PURCHASE_DESCRIPTION&lt;&gt;"",PURCHASE_DESCRIPTION&amp;":","")&amp;A7:A42,SMALL(IF(ISNUMBER(AP7:AP42),IF(AP7:AP42&gt;0,IF(AS7:AS42&lt;&gt;"",ROW(AP7:AP42)-MIN(ROW(AP7:AP42))+1))),ROW()-ROW(A$45)+1)),",",";")),"")</f>
        <v>0</v>
      </c>
      <c r="AU66">
        <f t="array" ref="AU66">IFERROR(CONCATENATE(INDEX(AX7:AX42,SMALL(IF(ISNUMBER(AU7:AU42),IF(AU7:AU42&gt;0,IF(AX7:AX42&lt;&gt;"",ROW(AU7:AU42)-MIN(ROW(AU7:AU42))+1))),ROW()-ROW(A$45)+1))," ",TEXT(INDEX(AU7:AU42,SMALL(IF(ISNUMBER(AU7:AU42),IF(AU7:AU42&gt;0,IF(AX7:AX42&lt;&gt;"",ROW(AU7:AU42)-MIN(ROW(AU7:AU42))+1))),ROW()-ROW(A$45)+1)),"##0")," ",SUBSTITUTE(INDEX(IF(PURCHASE_DESCRIPTION&lt;&gt;"",PURCHASE_DESCRIPTION&amp;":","")&amp;A7:A42,SMALL(IF(ISNUMBER(AU7:AU42),IF(AU7:AU42&gt;0,IF(AX7:AX42&lt;&gt;"",ROW(AU7:AU42)-MIN(ROW(AU7:AU42))+1))),ROW()-ROW(A$45)+1))," ",";")),"")</f>
        <v>0</v>
      </c>
    </row>
    <row r="67" spans="12:47">
      <c r="L67">
        <f t="array" ref="L67">IFERROR(CONCATENATE(INDEX(O7:O42,SMALL(IF(ISNUMBER(L7:L42),IF(L7:L42&gt;0,IF(O7:O42&lt;&gt;"",ROW(L7:L42)-MIN(ROW(L7:L42))+1))),ROW()-ROW(A$45)+1)),",",TEXT(INDEX(L7:L42,SMALL(IF(ISNUMBER(L7:L42),IF(L7:L42&gt;0,IF(O7:O42&lt;&gt;"",ROW(L7:L42)-MIN(ROW(L7:L42))+1))),ROW()-ROW(A$45)+1)),"##0"),",",SUBSTITUTE(INDEX(IF(PURCHASE_DESCRIPTION&lt;&gt;"",PURCHASE_DESCRIPTION&amp;":","")&amp;A7:A42,SMALL(IF(ISNUMBER(L7:L42),IF(L7:L42&gt;0,IF(O7:O42&lt;&gt;"",ROW(L7:L42)-MIN(ROW(L7:L42))+1))),ROW()-ROW(A$45)+1)),",",";")),"")</f>
        <v>0</v>
      </c>
      <c r="Q67">
        <f t="array" ref="Q67">IFERROR(CONCATENATE(TEXT(INDEX(Q7:Q42,SMALL(IF(ISNUMBER(Q7:Q42),IF(Q7:Q42&gt;0,IF(T7:T42&lt;&gt;"",ROW(Q7:Q42)-MIN(ROW(Q7:Q42))+1))),ROW()-ROW(A$45)+1)),"##0"),",",INDEX(T7:T42,SMALL(IF(ISNUMBER(Q7:Q42),IF(Q7:Q42&gt;0,IF(T7:T42&lt;&gt;"",ROW(Q7:Q42)-MIN(ROW(Q7:Q42))+1))),ROW()-ROW(A$45)+1)),",",SUBSTITUTE(INDEX(IF(PURCHASE_DESCRIPTION&lt;&gt;"",PURCHASE_DESCRIPTION&amp;":","")&amp;A7:A42,SMALL(IF(ISNUMBER(Q7:Q42),IF(Q7:Q42&gt;0,IF(T7:T42&lt;&gt;"",ROW(Q7:Q42)-MIN(ROW(Q7:Q42))+1))),ROW()-ROW(A$45)+1)),",",";")),"")</f>
        <v>0</v>
      </c>
      <c r="V67">
        <f t="array" ref="V67">IFERROR(CONCATENATE(INDEX(Y7:Y42,SMALL(IF(ISNUMBER(V7:V42),IF(V7:V42&gt;0,IF(Y7:Y42&lt;&gt;"",ROW(V7:V42)-MIN(ROW(V7:V42))+1))),ROW()-ROW(A$45)+1)),",",TEXT(INDEX(V7:V42,SMALL(IF(ISNUMBER(V7:V42),IF(V7:V42&gt;0,IF(Y7:Y42&lt;&gt;"",ROW(V7:V42)-MIN(ROW(V7:V42))+1))),ROW()-ROW(A$45)+1)),"##0"),",",SUBSTITUTE(SUBSTITUTE(INDEX(IF(PURCHASE_DESCRIPTION&lt;&gt;"",PURCHASE_DESCRIPTION&amp;":","")&amp;A7:A42,SMALL(IF(ISNUMBER(V7:V42),IF(V7:V42&gt;0,IF(Y7:Y42&lt;&gt;"",ROW(V7:V42)-MIN(ROW(V7:V42))+1))),ROW()-ROW(A$45)+1)),",",";"),"
",";"),",",SUBSTITUTE(SUBSTITUTE(INDEX(IF(PURCHASE_DESCRIPTION&lt;&gt;"",PURCHASE_DESCRIPTION&amp;":","")&amp;C7:C42,SMALL(IF(ISNUMBER(V7:V42),IF(V7:V42&gt;0,IF(Y7:Y42&lt;&gt;"",ROW(V7:V42)-MIN(ROW(V7:V42))+1))),ROW()-ROW(A$45)+1)),",",";"),"
",";"),",",SUBSTITUTE(SUBSTITUTE(INDEX(IF(PURCHASE_DESCRIPTION&lt;&gt;"",PURCHASE_DESCRIPTION&amp;":","")&amp;F7:F42,SMALL(IF(ISNUMBER(V7:V42),IF(V7:V42&gt;0,IF(Y7:Y42&lt;&gt;"",ROW(V7:V42)-MIN(ROW(V7:V42))+1))),ROW()-ROW(A$45)+1)),",",";"),"
",";"),",",SUBSTITUTE(SUBSTITUTE(INDEX(IF(PURCHASE_DESCRIPTION&lt;&gt;"",PURCHASE_DESCRIPTION&amp;":","")&amp;D7:D42,SMALL(IF(ISNUMBER(V7:V42),IF(V7:V42&gt;0,IF(Y7:Y42&lt;&gt;"",ROW(V7:V42)-MIN(ROW(V7:V42))+1))),ROW()-ROW(A$45)+1)),",",";"),"
",";")),"")</f>
        <v>0</v>
      </c>
      <c r="AA67">
        <f t="array" ref="AA67">IFERROR(CONCATENATE(TEXT(INDEX(AA7:AA42,SMALL(IF(ISNUMBER(AA7:AA42),IF(AA7:AA42&gt;0,IF(AD7:AD42&lt;&gt;"",ROW(AA7:AA42)-MIN(ROW(AA7:AA42))+1))),ROW()-ROW(A$46)+1)),"##0"),",",SUBSTITUTE(INDEX(IF(PURCHASE_DESCRIPTION&lt;&gt;"",PURCHASE_DESCRIPTION&amp;":","")&amp;A7:A42,SMALL(IF(ISNUMBER(AA7:AA42),IF(AA7:AA42&gt;0,IF(AD7:AD42&lt;&gt;"",ROW(AA7:AA42)-MIN(ROW(AA7:AA42))+1))),ROW()-ROW(A$46)+1)),",",";"),",",SUBSTITUTE(INDEX(IF(PURCHASE_DESCRIPTION&lt;&gt;"",PURCHASE_DESCRIPTION&amp;":","")&amp;E7:E42,SMALL(IF(ISNUMBER(AA7:AA42),IF(AA7:AA42&gt;0,IF(AD7:AD42&lt;&gt;"",ROW(AA7:AA42)-MIN(ROW(AA7:AA42))+1))),ROW()-ROW(A$46)+1)),",",";"),",",INDEX(AD7:AD42,SMALL(IF(ISNUMBER(AA7:AA42),IF(AA7:AA42&gt;0,IF(AD7:AD42&lt;&gt;"",ROW(AA7:AA42)-MIN(ROW(AA7:AA42))+1))),ROW()-ROW(A$46)+1))),"")</f>
        <v>0</v>
      </c>
      <c r="AF67">
        <f t="array" ref="AF67">IFERROR(CONCATENATE(INDEX(AI7:AI42,SMALL(IF(ISNUMBER(AF7:AF42),IF(AF7:AF42&gt;0,IF(AI7:AI42&lt;&gt;"",ROW(AF7:AF42)-MIN(ROW(AF7:AF42))+1))),ROW()-ROW(A$45)+1)),"|",TEXT(INDEX(AF7:AF42,SMALL(IF(ISNUMBER(AF7:AF42),IF(AF7:AF42&gt;0,IF(AI7:AI42&lt;&gt;"",ROW(AF7:AF42)-MIN(ROW(AF7:AF42))+1))),ROW()-ROW(A$45)+1)),"##0"),"|",SUBSTITUTE(SUBSTITUTE(INDEX(IF(PURCHASE_DESCRIPTION&lt;&gt;"",PURCHASE_DESCRIPTION&amp;":","")&amp;A7:A42,SMALL(IF(ISNUMBER(AF7:AF42),IF(AF7:AF42&gt;0,IF(AI7:AI42&lt;&gt;"",ROW(AF7:AF42)-MIN(ROW(AF7:AF42))+1))),ROW()-ROW(A$45)+1)),"|",";")," ","_")),"")</f>
        <v>0</v>
      </c>
      <c r="AK67">
        <f t="array" ref="AK67">IFERROR(CONCATENATE(INDEX(AN7:AN42,SMALL(IF(ISNUMBER(AK7:AK42),IF(AK7:AK42&gt;0,IF(AN7:AN42&lt;&gt;"",ROW(AK7:AK42)-MIN(ROW(AK7:AK42))+1))),ROW()-ROW(A$45)+1)),",",TEXT(INDEX(AK7:AK42,SMALL(IF(ISNUMBER(AK7:AK42),IF(AK7:AK42&gt;0,IF(AN7:AN42&lt;&gt;"",ROW(AK7:AK42)-MIN(ROW(AK7:AK42))+1))),ROW()-ROW(A$45)+1)),"##0"),",",SUBSTITUTE(SUBSTITUTE(INDEX(IF(PURCHASE_DESCRIPTION&lt;&gt;"",PURCHASE_DESCRIPTION&amp;":","")&amp;A7:A42,SMALL(IF(ISNUMBER(AK7:AK42),IF(AK7:AK42&gt;0,IF(AN7:AN42&lt;&gt;"",ROW(AK7:AK42)-MIN(ROW(AK7:AK42))+1))),ROW()-ROW(A$45)+1)),",",";"),"
",";"),",",SUBSTITUTE(SUBSTITUTE(INDEX(IF(PURCHASE_DESCRIPTION&lt;&gt;"",PURCHASE_DESCRIPTION&amp;":","")&amp;C7:C42,SMALL(IF(ISNUMBER(AK7:AK42),IF(AK7:AK42&gt;0,IF(AN7:AN42&lt;&gt;"",ROW(AK7:AK42)-MIN(ROW(AK7:AK42))+1))),ROW()-ROW(A$45)+1)),",",";"),"
",";"),",",SUBSTITUTE(SUBSTITUTE(INDEX(IF(PURCHASE_DESCRIPTION&lt;&gt;"",PURCHASE_DESCRIPTION&amp;":","")&amp;F7:F42,SMALL(IF(ISNUMBER(AK7:AK42),IF(AK7:AK42&gt;0,IF(AN7:AN42&lt;&gt;"",ROW(AK7:AK42)-MIN(ROW(AK7:AK42))+1))),ROW()-ROW(A$45)+1)),",",";"),"
",";"),",",SUBSTITUTE(SUBSTITUTE(INDEX(IF(PURCHASE_DESCRIPTION&lt;&gt;"",PURCHASE_DESCRIPTION&amp;":","")&amp;D7:D42,SMALL(IF(ISNUMBER(AK7:AK42),IF(AK7:AK42&gt;0,IF(AN7:AN42&lt;&gt;"",ROW(AK7:AK42)-MIN(ROW(AK7:AK42))+1))),ROW()-ROW(A$45)+1)),",",";"),"
",";")),"")</f>
        <v>0</v>
      </c>
      <c r="AP67">
        <f t="array" ref="AP67">IFERROR(CONCATENATE(INDEX(AS7:AS42,SMALL(IF(ISNUMBER(AP7:AP42),IF(AP7:AP42&gt;0,IF(AS7:AS42&lt;&gt;"",ROW(AP7:AP42)-MIN(ROW(AP7:AP42))+1))),ROW()-ROW(A$45)+1)),",",TEXT(INDEX(AP7:AP42,SMALL(IF(ISNUMBER(AP7:AP42),IF(AP7:AP42&gt;0,IF(AS7:AS42&lt;&gt;"",ROW(AP7:AP42)-MIN(ROW(AP7:AP42))+1))),ROW()-ROW(A$45)+1)),"##0"),",",,",",,",",,",",INDEX(G7:G42,SMALL(IF(ISNUMBER(AP7:AP42),IF(AP7:AP42&gt;0,IF(AS7:AS42&lt;&gt;"",ROW(AP7:AP42)-MIN(ROW(AP7:AP42))+1))),ROW()-ROW(A$45)+1)),",",SUBSTITUTE(INDEX(IF(PURCHASE_DESCRIPTION&lt;&gt;"",PURCHASE_DESCRIPTION&amp;":","")&amp;A7:A42,SMALL(IF(ISNUMBER(AP7:AP42),IF(AP7:AP42&gt;0,IF(AS7:AS42&lt;&gt;"",ROW(AP7:AP42)-MIN(ROW(AP7:AP42))+1))),ROW()-ROW(A$45)+1)),",",";")),"")</f>
        <v>0</v>
      </c>
      <c r="AU67">
        <f t="array" ref="AU67">IFERROR(CONCATENATE(INDEX(AX7:AX42,SMALL(IF(ISNUMBER(AU7:AU42),IF(AU7:AU42&gt;0,IF(AX7:AX42&lt;&gt;"",ROW(AU7:AU42)-MIN(ROW(AU7:AU42))+1))),ROW()-ROW(A$45)+1))," ",TEXT(INDEX(AU7:AU42,SMALL(IF(ISNUMBER(AU7:AU42),IF(AU7:AU42&gt;0,IF(AX7:AX42&lt;&gt;"",ROW(AU7:AU42)-MIN(ROW(AU7:AU42))+1))),ROW()-ROW(A$45)+1)),"##0")," ",SUBSTITUTE(INDEX(IF(PURCHASE_DESCRIPTION&lt;&gt;"",PURCHASE_DESCRIPTION&amp;":","")&amp;A7:A42,SMALL(IF(ISNUMBER(AU7:AU42),IF(AU7:AU42&gt;0,IF(AX7:AX42&lt;&gt;"",ROW(AU7:AU42)-MIN(ROW(AU7:AU42))+1))),ROW()-ROW(A$45)+1))," ",";")),"")</f>
        <v>0</v>
      </c>
    </row>
    <row r="68" spans="12:47">
      <c r="L68">
        <f t="array" ref="L68">IFERROR(CONCATENATE(INDEX(O7:O42,SMALL(IF(ISNUMBER(L7:L42),IF(L7:L42&gt;0,IF(O7:O42&lt;&gt;"",ROW(L7:L42)-MIN(ROW(L7:L42))+1))),ROW()-ROW(A$45)+1)),",",TEXT(INDEX(L7:L42,SMALL(IF(ISNUMBER(L7:L42),IF(L7:L42&gt;0,IF(O7:O42&lt;&gt;"",ROW(L7:L42)-MIN(ROW(L7:L42))+1))),ROW()-ROW(A$45)+1)),"##0"),",",SUBSTITUTE(INDEX(IF(PURCHASE_DESCRIPTION&lt;&gt;"",PURCHASE_DESCRIPTION&amp;":","")&amp;A7:A42,SMALL(IF(ISNUMBER(L7:L42),IF(L7:L42&gt;0,IF(O7:O42&lt;&gt;"",ROW(L7:L42)-MIN(ROW(L7:L42))+1))),ROW()-ROW(A$45)+1)),",",";")),"")</f>
        <v>0</v>
      </c>
      <c r="Q68">
        <f t="array" ref="Q68">IFERROR(CONCATENATE(TEXT(INDEX(Q7:Q42,SMALL(IF(ISNUMBER(Q7:Q42),IF(Q7:Q42&gt;0,IF(T7:T42&lt;&gt;"",ROW(Q7:Q42)-MIN(ROW(Q7:Q42))+1))),ROW()-ROW(A$45)+1)),"##0"),",",INDEX(T7:T42,SMALL(IF(ISNUMBER(Q7:Q42),IF(Q7:Q42&gt;0,IF(T7:T42&lt;&gt;"",ROW(Q7:Q42)-MIN(ROW(Q7:Q42))+1))),ROW()-ROW(A$45)+1)),",",SUBSTITUTE(INDEX(IF(PURCHASE_DESCRIPTION&lt;&gt;"",PURCHASE_DESCRIPTION&amp;":","")&amp;A7:A42,SMALL(IF(ISNUMBER(Q7:Q42),IF(Q7:Q42&gt;0,IF(T7:T42&lt;&gt;"",ROW(Q7:Q42)-MIN(ROW(Q7:Q42))+1))),ROW()-ROW(A$45)+1)),",",";")),"")</f>
        <v>0</v>
      </c>
      <c r="V68">
        <f t="array" ref="V68">IFERROR(CONCATENATE(INDEX(Y7:Y42,SMALL(IF(ISNUMBER(V7:V42),IF(V7:V42&gt;0,IF(Y7:Y42&lt;&gt;"",ROW(V7:V42)-MIN(ROW(V7:V42))+1))),ROW()-ROW(A$45)+1)),",",TEXT(INDEX(V7:V42,SMALL(IF(ISNUMBER(V7:V42),IF(V7:V42&gt;0,IF(Y7:Y42&lt;&gt;"",ROW(V7:V42)-MIN(ROW(V7:V42))+1))),ROW()-ROW(A$45)+1)),"##0"),",",SUBSTITUTE(SUBSTITUTE(INDEX(IF(PURCHASE_DESCRIPTION&lt;&gt;"",PURCHASE_DESCRIPTION&amp;":","")&amp;A7:A42,SMALL(IF(ISNUMBER(V7:V42),IF(V7:V42&gt;0,IF(Y7:Y42&lt;&gt;"",ROW(V7:V42)-MIN(ROW(V7:V42))+1))),ROW()-ROW(A$45)+1)),",",";"),"
",";"),",",SUBSTITUTE(SUBSTITUTE(INDEX(IF(PURCHASE_DESCRIPTION&lt;&gt;"",PURCHASE_DESCRIPTION&amp;":","")&amp;C7:C42,SMALL(IF(ISNUMBER(V7:V42),IF(V7:V42&gt;0,IF(Y7:Y42&lt;&gt;"",ROW(V7:V42)-MIN(ROW(V7:V42))+1))),ROW()-ROW(A$45)+1)),",",";"),"
",";"),",",SUBSTITUTE(SUBSTITUTE(INDEX(IF(PURCHASE_DESCRIPTION&lt;&gt;"",PURCHASE_DESCRIPTION&amp;":","")&amp;F7:F42,SMALL(IF(ISNUMBER(V7:V42),IF(V7:V42&gt;0,IF(Y7:Y42&lt;&gt;"",ROW(V7:V42)-MIN(ROW(V7:V42))+1))),ROW()-ROW(A$45)+1)),",",";"),"
",";"),",",SUBSTITUTE(SUBSTITUTE(INDEX(IF(PURCHASE_DESCRIPTION&lt;&gt;"",PURCHASE_DESCRIPTION&amp;":","")&amp;D7:D42,SMALL(IF(ISNUMBER(V7:V42),IF(V7:V42&gt;0,IF(Y7:Y42&lt;&gt;"",ROW(V7:V42)-MIN(ROW(V7:V42))+1))),ROW()-ROW(A$45)+1)),",",";"),"
",";")),"")</f>
        <v>0</v>
      </c>
      <c r="AA68">
        <f t="array" ref="AA68">IFERROR(CONCATENATE(TEXT(INDEX(AA7:AA42,SMALL(IF(ISNUMBER(AA7:AA42),IF(AA7:AA42&gt;0,IF(AD7:AD42&lt;&gt;"",ROW(AA7:AA42)-MIN(ROW(AA7:AA42))+1))),ROW()-ROW(A$46)+1)),"##0"),",",SUBSTITUTE(INDEX(IF(PURCHASE_DESCRIPTION&lt;&gt;"",PURCHASE_DESCRIPTION&amp;":","")&amp;A7:A42,SMALL(IF(ISNUMBER(AA7:AA42),IF(AA7:AA42&gt;0,IF(AD7:AD42&lt;&gt;"",ROW(AA7:AA42)-MIN(ROW(AA7:AA42))+1))),ROW()-ROW(A$46)+1)),",",";"),",",SUBSTITUTE(INDEX(IF(PURCHASE_DESCRIPTION&lt;&gt;"",PURCHASE_DESCRIPTION&amp;":","")&amp;E7:E42,SMALL(IF(ISNUMBER(AA7:AA42),IF(AA7:AA42&gt;0,IF(AD7:AD42&lt;&gt;"",ROW(AA7:AA42)-MIN(ROW(AA7:AA42))+1))),ROW()-ROW(A$46)+1)),",",";"),",",INDEX(AD7:AD42,SMALL(IF(ISNUMBER(AA7:AA42),IF(AA7:AA42&gt;0,IF(AD7:AD42&lt;&gt;"",ROW(AA7:AA42)-MIN(ROW(AA7:AA42))+1))),ROW()-ROW(A$46)+1))),"")</f>
        <v>0</v>
      </c>
      <c r="AF68">
        <f t="array" ref="AF68">IFERROR(CONCATENATE(INDEX(AI7:AI42,SMALL(IF(ISNUMBER(AF7:AF42),IF(AF7:AF42&gt;0,IF(AI7:AI42&lt;&gt;"",ROW(AF7:AF42)-MIN(ROW(AF7:AF42))+1))),ROW()-ROW(A$45)+1)),"|",TEXT(INDEX(AF7:AF42,SMALL(IF(ISNUMBER(AF7:AF42),IF(AF7:AF42&gt;0,IF(AI7:AI42&lt;&gt;"",ROW(AF7:AF42)-MIN(ROW(AF7:AF42))+1))),ROW()-ROW(A$45)+1)),"##0"),"|",SUBSTITUTE(SUBSTITUTE(INDEX(IF(PURCHASE_DESCRIPTION&lt;&gt;"",PURCHASE_DESCRIPTION&amp;":","")&amp;A7:A42,SMALL(IF(ISNUMBER(AF7:AF42),IF(AF7:AF42&gt;0,IF(AI7:AI42&lt;&gt;"",ROW(AF7:AF42)-MIN(ROW(AF7:AF42))+1))),ROW()-ROW(A$45)+1)),"|",";")," ","_")),"")</f>
        <v>0</v>
      </c>
      <c r="AK68">
        <f t="array" ref="AK68">IFERROR(CONCATENATE(INDEX(AN7:AN42,SMALL(IF(ISNUMBER(AK7:AK42),IF(AK7:AK42&gt;0,IF(AN7:AN42&lt;&gt;"",ROW(AK7:AK42)-MIN(ROW(AK7:AK42))+1))),ROW()-ROW(A$45)+1)),",",TEXT(INDEX(AK7:AK42,SMALL(IF(ISNUMBER(AK7:AK42),IF(AK7:AK42&gt;0,IF(AN7:AN42&lt;&gt;"",ROW(AK7:AK42)-MIN(ROW(AK7:AK42))+1))),ROW()-ROW(A$45)+1)),"##0"),",",SUBSTITUTE(SUBSTITUTE(INDEX(IF(PURCHASE_DESCRIPTION&lt;&gt;"",PURCHASE_DESCRIPTION&amp;":","")&amp;A7:A42,SMALL(IF(ISNUMBER(AK7:AK42),IF(AK7:AK42&gt;0,IF(AN7:AN42&lt;&gt;"",ROW(AK7:AK42)-MIN(ROW(AK7:AK42))+1))),ROW()-ROW(A$45)+1)),",",";"),"
",";"),",",SUBSTITUTE(SUBSTITUTE(INDEX(IF(PURCHASE_DESCRIPTION&lt;&gt;"",PURCHASE_DESCRIPTION&amp;":","")&amp;C7:C42,SMALL(IF(ISNUMBER(AK7:AK42),IF(AK7:AK42&gt;0,IF(AN7:AN42&lt;&gt;"",ROW(AK7:AK42)-MIN(ROW(AK7:AK42))+1))),ROW()-ROW(A$45)+1)),",",";"),"
",";"),",",SUBSTITUTE(SUBSTITUTE(INDEX(IF(PURCHASE_DESCRIPTION&lt;&gt;"",PURCHASE_DESCRIPTION&amp;":","")&amp;F7:F42,SMALL(IF(ISNUMBER(AK7:AK42),IF(AK7:AK42&gt;0,IF(AN7:AN42&lt;&gt;"",ROW(AK7:AK42)-MIN(ROW(AK7:AK42))+1))),ROW()-ROW(A$45)+1)),",",";"),"
",";"),",",SUBSTITUTE(SUBSTITUTE(INDEX(IF(PURCHASE_DESCRIPTION&lt;&gt;"",PURCHASE_DESCRIPTION&amp;":","")&amp;D7:D42,SMALL(IF(ISNUMBER(AK7:AK42),IF(AK7:AK42&gt;0,IF(AN7:AN42&lt;&gt;"",ROW(AK7:AK42)-MIN(ROW(AK7:AK42))+1))),ROW()-ROW(A$45)+1)),",",";"),"
",";")),"")</f>
        <v>0</v>
      </c>
      <c r="AP68">
        <f t="array" ref="AP68">IFERROR(CONCATENATE(INDEX(AS7:AS42,SMALL(IF(ISNUMBER(AP7:AP42),IF(AP7:AP42&gt;0,IF(AS7:AS42&lt;&gt;"",ROW(AP7:AP42)-MIN(ROW(AP7:AP42))+1))),ROW()-ROW(A$45)+1)),",",TEXT(INDEX(AP7:AP42,SMALL(IF(ISNUMBER(AP7:AP42),IF(AP7:AP42&gt;0,IF(AS7:AS42&lt;&gt;"",ROW(AP7:AP42)-MIN(ROW(AP7:AP42))+1))),ROW()-ROW(A$45)+1)),"##0"),",",,",",,",",,",",INDEX(G7:G42,SMALL(IF(ISNUMBER(AP7:AP42),IF(AP7:AP42&gt;0,IF(AS7:AS42&lt;&gt;"",ROW(AP7:AP42)-MIN(ROW(AP7:AP42))+1))),ROW()-ROW(A$45)+1)),",",SUBSTITUTE(INDEX(IF(PURCHASE_DESCRIPTION&lt;&gt;"",PURCHASE_DESCRIPTION&amp;":","")&amp;A7:A42,SMALL(IF(ISNUMBER(AP7:AP42),IF(AP7:AP42&gt;0,IF(AS7:AS42&lt;&gt;"",ROW(AP7:AP42)-MIN(ROW(AP7:AP42))+1))),ROW()-ROW(A$45)+1)),",",";")),"")</f>
        <v>0</v>
      </c>
      <c r="AU68">
        <f t="array" ref="AU68">IFERROR(CONCATENATE(INDEX(AX7:AX42,SMALL(IF(ISNUMBER(AU7:AU42),IF(AU7:AU42&gt;0,IF(AX7:AX42&lt;&gt;"",ROW(AU7:AU42)-MIN(ROW(AU7:AU42))+1))),ROW()-ROW(A$45)+1))," ",TEXT(INDEX(AU7:AU42,SMALL(IF(ISNUMBER(AU7:AU42),IF(AU7:AU42&gt;0,IF(AX7:AX42&lt;&gt;"",ROW(AU7:AU42)-MIN(ROW(AU7:AU42))+1))),ROW()-ROW(A$45)+1)),"##0")," ",SUBSTITUTE(INDEX(IF(PURCHASE_DESCRIPTION&lt;&gt;"",PURCHASE_DESCRIPTION&amp;":","")&amp;A7:A42,SMALL(IF(ISNUMBER(AU7:AU42),IF(AU7:AU42&gt;0,IF(AX7:AX42&lt;&gt;"",ROW(AU7:AU42)-MIN(ROW(AU7:AU42))+1))),ROW()-ROW(A$45)+1))," ",";")),"")</f>
        <v>0</v>
      </c>
    </row>
    <row r="69" spans="12:47">
      <c r="L69">
        <f t="array" ref="L69">IFERROR(CONCATENATE(INDEX(O7:O42,SMALL(IF(ISNUMBER(L7:L42),IF(L7:L42&gt;0,IF(O7:O42&lt;&gt;"",ROW(L7:L42)-MIN(ROW(L7:L42))+1))),ROW()-ROW(A$45)+1)),",",TEXT(INDEX(L7:L42,SMALL(IF(ISNUMBER(L7:L42),IF(L7:L42&gt;0,IF(O7:O42&lt;&gt;"",ROW(L7:L42)-MIN(ROW(L7:L42))+1))),ROW()-ROW(A$45)+1)),"##0"),",",SUBSTITUTE(INDEX(IF(PURCHASE_DESCRIPTION&lt;&gt;"",PURCHASE_DESCRIPTION&amp;":","")&amp;A7:A42,SMALL(IF(ISNUMBER(L7:L42),IF(L7:L42&gt;0,IF(O7:O42&lt;&gt;"",ROW(L7:L42)-MIN(ROW(L7:L42))+1))),ROW()-ROW(A$45)+1)),",",";")),"")</f>
        <v>0</v>
      </c>
      <c r="Q69">
        <f t="array" ref="Q69">IFERROR(CONCATENATE(TEXT(INDEX(Q7:Q42,SMALL(IF(ISNUMBER(Q7:Q42),IF(Q7:Q42&gt;0,IF(T7:T42&lt;&gt;"",ROW(Q7:Q42)-MIN(ROW(Q7:Q42))+1))),ROW()-ROW(A$45)+1)),"##0"),",",INDEX(T7:T42,SMALL(IF(ISNUMBER(Q7:Q42),IF(Q7:Q42&gt;0,IF(T7:T42&lt;&gt;"",ROW(Q7:Q42)-MIN(ROW(Q7:Q42))+1))),ROW()-ROW(A$45)+1)),",",SUBSTITUTE(INDEX(IF(PURCHASE_DESCRIPTION&lt;&gt;"",PURCHASE_DESCRIPTION&amp;":","")&amp;A7:A42,SMALL(IF(ISNUMBER(Q7:Q42),IF(Q7:Q42&gt;0,IF(T7:T42&lt;&gt;"",ROW(Q7:Q42)-MIN(ROW(Q7:Q42))+1))),ROW()-ROW(A$45)+1)),",",";")),"")</f>
        <v>0</v>
      </c>
      <c r="V69">
        <f t="array" ref="V69">IFERROR(CONCATENATE(INDEX(Y7:Y42,SMALL(IF(ISNUMBER(V7:V42),IF(V7:V42&gt;0,IF(Y7:Y42&lt;&gt;"",ROW(V7:V42)-MIN(ROW(V7:V42))+1))),ROW()-ROW(A$45)+1)),",",TEXT(INDEX(V7:V42,SMALL(IF(ISNUMBER(V7:V42),IF(V7:V42&gt;0,IF(Y7:Y42&lt;&gt;"",ROW(V7:V42)-MIN(ROW(V7:V42))+1))),ROW()-ROW(A$45)+1)),"##0"),",",SUBSTITUTE(SUBSTITUTE(INDEX(IF(PURCHASE_DESCRIPTION&lt;&gt;"",PURCHASE_DESCRIPTION&amp;":","")&amp;A7:A42,SMALL(IF(ISNUMBER(V7:V42),IF(V7:V42&gt;0,IF(Y7:Y42&lt;&gt;"",ROW(V7:V42)-MIN(ROW(V7:V42))+1))),ROW()-ROW(A$45)+1)),",",";"),"
",";"),",",SUBSTITUTE(SUBSTITUTE(INDEX(IF(PURCHASE_DESCRIPTION&lt;&gt;"",PURCHASE_DESCRIPTION&amp;":","")&amp;C7:C42,SMALL(IF(ISNUMBER(V7:V42),IF(V7:V42&gt;0,IF(Y7:Y42&lt;&gt;"",ROW(V7:V42)-MIN(ROW(V7:V42))+1))),ROW()-ROW(A$45)+1)),",",";"),"
",";"),",",SUBSTITUTE(SUBSTITUTE(INDEX(IF(PURCHASE_DESCRIPTION&lt;&gt;"",PURCHASE_DESCRIPTION&amp;":","")&amp;F7:F42,SMALL(IF(ISNUMBER(V7:V42),IF(V7:V42&gt;0,IF(Y7:Y42&lt;&gt;"",ROW(V7:V42)-MIN(ROW(V7:V42))+1))),ROW()-ROW(A$45)+1)),",",";"),"
",";"),",",SUBSTITUTE(SUBSTITUTE(INDEX(IF(PURCHASE_DESCRIPTION&lt;&gt;"",PURCHASE_DESCRIPTION&amp;":","")&amp;D7:D42,SMALL(IF(ISNUMBER(V7:V42),IF(V7:V42&gt;0,IF(Y7:Y42&lt;&gt;"",ROW(V7:V42)-MIN(ROW(V7:V42))+1))),ROW()-ROW(A$45)+1)),",",";"),"
",";")),"")</f>
        <v>0</v>
      </c>
      <c r="AA69">
        <f t="array" ref="AA69">IFERROR(CONCATENATE(TEXT(INDEX(AA7:AA42,SMALL(IF(ISNUMBER(AA7:AA42),IF(AA7:AA42&gt;0,IF(AD7:AD42&lt;&gt;"",ROW(AA7:AA42)-MIN(ROW(AA7:AA42))+1))),ROW()-ROW(A$46)+1)),"##0"),",",SUBSTITUTE(INDEX(IF(PURCHASE_DESCRIPTION&lt;&gt;"",PURCHASE_DESCRIPTION&amp;":","")&amp;A7:A42,SMALL(IF(ISNUMBER(AA7:AA42),IF(AA7:AA42&gt;0,IF(AD7:AD42&lt;&gt;"",ROW(AA7:AA42)-MIN(ROW(AA7:AA42))+1))),ROW()-ROW(A$46)+1)),",",";"),",",SUBSTITUTE(INDEX(IF(PURCHASE_DESCRIPTION&lt;&gt;"",PURCHASE_DESCRIPTION&amp;":","")&amp;E7:E42,SMALL(IF(ISNUMBER(AA7:AA42),IF(AA7:AA42&gt;0,IF(AD7:AD42&lt;&gt;"",ROW(AA7:AA42)-MIN(ROW(AA7:AA42))+1))),ROW()-ROW(A$46)+1)),",",";"),",",INDEX(AD7:AD42,SMALL(IF(ISNUMBER(AA7:AA42),IF(AA7:AA42&gt;0,IF(AD7:AD42&lt;&gt;"",ROW(AA7:AA42)-MIN(ROW(AA7:AA42))+1))),ROW()-ROW(A$46)+1))),"")</f>
        <v>0</v>
      </c>
      <c r="AF69">
        <f t="array" ref="AF69">IFERROR(CONCATENATE(INDEX(AI7:AI42,SMALL(IF(ISNUMBER(AF7:AF42),IF(AF7:AF42&gt;0,IF(AI7:AI42&lt;&gt;"",ROW(AF7:AF42)-MIN(ROW(AF7:AF42))+1))),ROW()-ROW(A$45)+1)),"|",TEXT(INDEX(AF7:AF42,SMALL(IF(ISNUMBER(AF7:AF42),IF(AF7:AF42&gt;0,IF(AI7:AI42&lt;&gt;"",ROW(AF7:AF42)-MIN(ROW(AF7:AF42))+1))),ROW()-ROW(A$45)+1)),"##0"),"|",SUBSTITUTE(SUBSTITUTE(INDEX(IF(PURCHASE_DESCRIPTION&lt;&gt;"",PURCHASE_DESCRIPTION&amp;":","")&amp;A7:A42,SMALL(IF(ISNUMBER(AF7:AF42),IF(AF7:AF42&gt;0,IF(AI7:AI42&lt;&gt;"",ROW(AF7:AF42)-MIN(ROW(AF7:AF42))+1))),ROW()-ROW(A$45)+1)),"|",";")," ","_")),"")</f>
        <v>0</v>
      </c>
      <c r="AK69">
        <f t="array" ref="AK69">IFERROR(CONCATENATE(INDEX(AN7:AN42,SMALL(IF(ISNUMBER(AK7:AK42),IF(AK7:AK42&gt;0,IF(AN7:AN42&lt;&gt;"",ROW(AK7:AK42)-MIN(ROW(AK7:AK42))+1))),ROW()-ROW(A$45)+1)),",",TEXT(INDEX(AK7:AK42,SMALL(IF(ISNUMBER(AK7:AK42),IF(AK7:AK42&gt;0,IF(AN7:AN42&lt;&gt;"",ROW(AK7:AK42)-MIN(ROW(AK7:AK42))+1))),ROW()-ROW(A$45)+1)),"##0"),",",SUBSTITUTE(SUBSTITUTE(INDEX(IF(PURCHASE_DESCRIPTION&lt;&gt;"",PURCHASE_DESCRIPTION&amp;":","")&amp;A7:A42,SMALL(IF(ISNUMBER(AK7:AK42),IF(AK7:AK42&gt;0,IF(AN7:AN42&lt;&gt;"",ROW(AK7:AK42)-MIN(ROW(AK7:AK42))+1))),ROW()-ROW(A$45)+1)),",",";"),"
",";"),",",SUBSTITUTE(SUBSTITUTE(INDEX(IF(PURCHASE_DESCRIPTION&lt;&gt;"",PURCHASE_DESCRIPTION&amp;":","")&amp;C7:C42,SMALL(IF(ISNUMBER(AK7:AK42),IF(AK7:AK42&gt;0,IF(AN7:AN42&lt;&gt;"",ROW(AK7:AK42)-MIN(ROW(AK7:AK42))+1))),ROW()-ROW(A$45)+1)),",",";"),"
",";"),",",SUBSTITUTE(SUBSTITUTE(INDEX(IF(PURCHASE_DESCRIPTION&lt;&gt;"",PURCHASE_DESCRIPTION&amp;":","")&amp;F7:F42,SMALL(IF(ISNUMBER(AK7:AK42),IF(AK7:AK42&gt;0,IF(AN7:AN42&lt;&gt;"",ROW(AK7:AK42)-MIN(ROW(AK7:AK42))+1))),ROW()-ROW(A$45)+1)),",",";"),"
",";"),",",SUBSTITUTE(SUBSTITUTE(INDEX(IF(PURCHASE_DESCRIPTION&lt;&gt;"",PURCHASE_DESCRIPTION&amp;":","")&amp;D7:D42,SMALL(IF(ISNUMBER(AK7:AK42),IF(AK7:AK42&gt;0,IF(AN7:AN42&lt;&gt;"",ROW(AK7:AK42)-MIN(ROW(AK7:AK42))+1))),ROW()-ROW(A$45)+1)),",",";"),"
",";")),"")</f>
        <v>0</v>
      </c>
      <c r="AP69">
        <f t="array" ref="AP69">IFERROR(CONCATENATE(INDEX(AS7:AS42,SMALL(IF(ISNUMBER(AP7:AP42),IF(AP7:AP42&gt;0,IF(AS7:AS42&lt;&gt;"",ROW(AP7:AP42)-MIN(ROW(AP7:AP42))+1))),ROW()-ROW(A$45)+1)),",",TEXT(INDEX(AP7:AP42,SMALL(IF(ISNUMBER(AP7:AP42),IF(AP7:AP42&gt;0,IF(AS7:AS42&lt;&gt;"",ROW(AP7:AP42)-MIN(ROW(AP7:AP42))+1))),ROW()-ROW(A$45)+1)),"##0"),",",,",",,",",,",",INDEX(G7:G42,SMALL(IF(ISNUMBER(AP7:AP42),IF(AP7:AP42&gt;0,IF(AS7:AS42&lt;&gt;"",ROW(AP7:AP42)-MIN(ROW(AP7:AP42))+1))),ROW()-ROW(A$45)+1)),",",SUBSTITUTE(INDEX(IF(PURCHASE_DESCRIPTION&lt;&gt;"",PURCHASE_DESCRIPTION&amp;":","")&amp;A7:A42,SMALL(IF(ISNUMBER(AP7:AP42),IF(AP7:AP42&gt;0,IF(AS7:AS42&lt;&gt;"",ROW(AP7:AP42)-MIN(ROW(AP7:AP42))+1))),ROW()-ROW(A$45)+1)),",",";")),"")</f>
        <v>0</v>
      </c>
      <c r="AU69">
        <f t="array" ref="AU69">IFERROR(CONCATENATE(INDEX(AX7:AX42,SMALL(IF(ISNUMBER(AU7:AU42),IF(AU7:AU42&gt;0,IF(AX7:AX42&lt;&gt;"",ROW(AU7:AU42)-MIN(ROW(AU7:AU42))+1))),ROW()-ROW(A$45)+1))," ",TEXT(INDEX(AU7:AU42,SMALL(IF(ISNUMBER(AU7:AU42),IF(AU7:AU42&gt;0,IF(AX7:AX42&lt;&gt;"",ROW(AU7:AU42)-MIN(ROW(AU7:AU42))+1))),ROW()-ROW(A$45)+1)),"##0")," ",SUBSTITUTE(INDEX(IF(PURCHASE_DESCRIPTION&lt;&gt;"",PURCHASE_DESCRIPTION&amp;":","")&amp;A7:A42,SMALL(IF(ISNUMBER(AU7:AU42),IF(AU7:AU42&gt;0,IF(AX7:AX42&lt;&gt;"",ROW(AU7:AU42)-MIN(ROW(AU7:AU42))+1))),ROW()-ROW(A$45)+1))," ",";")),"")</f>
        <v>0</v>
      </c>
    </row>
    <row r="70" spans="12:47">
      <c r="L70">
        <f t="array" ref="L70">IFERROR(CONCATENATE(INDEX(O7:O42,SMALL(IF(ISNUMBER(L7:L42),IF(L7:L42&gt;0,IF(O7:O42&lt;&gt;"",ROW(L7:L42)-MIN(ROW(L7:L42))+1))),ROW()-ROW(A$45)+1)),",",TEXT(INDEX(L7:L42,SMALL(IF(ISNUMBER(L7:L42),IF(L7:L42&gt;0,IF(O7:O42&lt;&gt;"",ROW(L7:L42)-MIN(ROW(L7:L42))+1))),ROW()-ROW(A$45)+1)),"##0"),",",SUBSTITUTE(INDEX(IF(PURCHASE_DESCRIPTION&lt;&gt;"",PURCHASE_DESCRIPTION&amp;":","")&amp;A7:A42,SMALL(IF(ISNUMBER(L7:L42),IF(L7:L42&gt;0,IF(O7:O42&lt;&gt;"",ROW(L7:L42)-MIN(ROW(L7:L42))+1))),ROW()-ROW(A$45)+1)),",",";")),"")</f>
        <v>0</v>
      </c>
      <c r="Q70">
        <f t="array" ref="Q70">IFERROR(CONCATENATE(TEXT(INDEX(Q7:Q42,SMALL(IF(ISNUMBER(Q7:Q42),IF(Q7:Q42&gt;0,IF(T7:T42&lt;&gt;"",ROW(Q7:Q42)-MIN(ROW(Q7:Q42))+1))),ROW()-ROW(A$45)+1)),"##0"),",",INDEX(T7:T42,SMALL(IF(ISNUMBER(Q7:Q42),IF(Q7:Q42&gt;0,IF(T7:T42&lt;&gt;"",ROW(Q7:Q42)-MIN(ROW(Q7:Q42))+1))),ROW()-ROW(A$45)+1)),",",SUBSTITUTE(INDEX(IF(PURCHASE_DESCRIPTION&lt;&gt;"",PURCHASE_DESCRIPTION&amp;":","")&amp;A7:A42,SMALL(IF(ISNUMBER(Q7:Q42),IF(Q7:Q42&gt;0,IF(T7:T42&lt;&gt;"",ROW(Q7:Q42)-MIN(ROW(Q7:Q42))+1))),ROW()-ROW(A$45)+1)),",",";")),"")</f>
        <v>0</v>
      </c>
      <c r="V70">
        <f t="array" ref="V70">IFERROR(CONCATENATE(INDEX(Y7:Y42,SMALL(IF(ISNUMBER(V7:V42),IF(V7:V42&gt;0,IF(Y7:Y42&lt;&gt;"",ROW(V7:V42)-MIN(ROW(V7:V42))+1))),ROW()-ROW(A$45)+1)),",",TEXT(INDEX(V7:V42,SMALL(IF(ISNUMBER(V7:V42),IF(V7:V42&gt;0,IF(Y7:Y42&lt;&gt;"",ROW(V7:V42)-MIN(ROW(V7:V42))+1))),ROW()-ROW(A$45)+1)),"##0"),",",SUBSTITUTE(SUBSTITUTE(INDEX(IF(PURCHASE_DESCRIPTION&lt;&gt;"",PURCHASE_DESCRIPTION&amp;":","")&amp;A7:A42,SMALL(IF(ISNUMBER(V7:V42),IF(V7:V42&gt;0,IF(Y7:Y42&lt;&gt;"",ROW(V7:V42)-MIN(ROW(V7:V42))+1))),ROW()-ROW(A$45)+1)),",",";"),"
",";"),",",SUBSTITUTE(SUBSTITUTE(INDEX(IF(PURCHASE_DESCRIPTION&lt;&gt;"",PURCHASE_DESCRIPTION&amp;":","")&amp;C7:C42,SMALL(IF(ISNUMBER(V7:V42),IF(V7:V42&gt;0,IF(Y7:Y42&lt;&gt;"",ROW(V7:V42)-MIN(ROW(V7:V42))+1))),ROW()-ROW(A$45)+1)),",",";"),"
",";"),",",SUBSTITUTE(SUBSTITUTE(INDEX(IF(PURCHASE_DESCRIPTION&lt;&gt;"",PURCHASE_DESCRIPTION&amp;":","")&amp;F7:F42,SMALL(IF(ISNUMBER(V7:V42),IF(V7:V42&gt;0,IF(Y7:Y42&lt;&gt;"",ROW(V7:V42)-MIN(ROW(V7:V42))+1))),ROW()-ROW(A$45)+1)),",",";"),"
",";"),",",SUBSTITUTE(SUBSTITUTE(INDEX(IF(PURCHASE_DESCRIPTION&lt;&gt;"",PURCHASE_DESCRIPTION&amp;":","")&amp;D7:D42,SMALL(IF(ISNUMBER(V7:V42),IF(V7:V42&gt;0,IF(Y7:Y42&lt;&gt;"",ROW(V7:V42)-MIN(ROW(V7:V42))+1))),ROW()-ROW(A$45)+1)),",",";"),"
",";")),"")</f>
        <v>0</v>
      </c>
      <c r="AA70">
        <f t="array" ref="AA70">IFERROR(CONCATENATE(TEXT(INDEX(AA7:AA42,SMALL(IF(ISNUMBER(AA7:AA42),IF(AA7:AA42&gt;0,IF(AD7:AD42&lt;&gt;"",ROW(AA7:AA42)-MIN(ROW(AA7:AA42))+1))),ROW()-ROW(A$46)+1)),"##0"),",",SUBSTITUTE(INDEX(IF(PURCHASE_DESCRIPTION&lt;&gt;"",PURCHASE_DESCRIPTION&amp;":","")&amp;A7:A42,SMALL(IF(ISNUMBER(AA7:AA42),IF(AA7:AA42&gt;0,IF(AD7:AD42&lt;&gt;"",ROW(AA7:AA42)-MIN(ROW(AA7:AA42))+1))),ROW()-ROW(A$46)+1)),",",";"),",",SUBSTITUTE(INDEX(IF(PURCHASE_DESCRIPTION&lt;&gt;"",PURCHASE_DESCRIPTION&amp;":","")&amp;E7:E42,SMALL(IF(ISNUMBER(AA7:AA42),IF(AA7:AA42&gt;0,IF(AD7:AD42&lt;&gt;"",ROW(AA7:AA42)-MIN(ROW(AA7:AA42))+1))),ROW()-ROW(A$46)+1)),",",";"),",",INDEX(AD7:AD42,SMALL(IF(ISNUMBER(AA7:AA42),IF(AA7:AA42&gt;0,IF(AD7:AD42&lt;&gt;"",ROW(AA7:AA42)-MIN(ROW(AA7:AA42))+1))),ROW()-ROW(A$46)+1))),"")</f>
        <v>0</v>
      </c>
      <c r="AF70">
        <f t="array" ref="AF70">IFERROR(CONCATENATE(INDEX(AI7:AI42,SMALL(IF(ISNUMBER(AF7:AF42),IF(AF7:AF42&gt;0,IF(AI7:AI42&lt;&gt;"",ROW(AF7:AF42)-MIN(ROW(AF7:AF42))+1))),ROW()-ROW(A$45)+1)),"|",TEXT(INDEX(AF7:AF42,SMALL(IF(ISNUMBER(AF7:AF42),IF(AF7:AF42&gt;0,IF(AI7:AI42&lt;&gt;"",ROW(AF7:AF42)-MIN(ROW(AF7:AF42))+1))),ROW()-ROW(A$45)+1)),"##0"),"|",SUBSTITUTE(SUBSTITUTE(INDEX(IF(PURCHASE_DESCRIPTION&lt;&gt;"",PURCHASE_DESCRIPTION&amp;":","")&amp;A7:A42,SMALL(IF(ISNUMBER(AF7:AF42),IF(AF7:AF42&gt;0,IF(AI7:AI42&lt;&gt;"",ROW(AF7:AF42)-MIN(ROW(AF7:AF42))+1))),ROW()-ROW(A$45)+1)),"|",";")," ","_")),"")</f>
        <v>0</v>
      </c>
      <c r="AK70">
        <f t="array" ref="AK70">IFERROR(CONCATENATE(INDEX(AN7:AN42,SMALL(IF(ISNUMBER(AK7:AK42),IF(AK7:AK42&gt;0,IF(AN7:AN42&lt;&gt;"",ROW(AK7:AK42)-MIN(ROW(AK7:AK42))+1))),ROW()-ROW(A$45)+1)),",",TEXT(INDEX(AK7:AK42,SMALL(IF(ISNUMBER(AK7:AK42),IF(AK7:AK42&gt;0,IF(AN7:AN42&lt;&gt;"",ROW(AK7:AK42)-MIN(ROW(AK7:AK42))+1))),ROW()-ROW(A$45)+1)),"##0"),",",SUBSTITUTE(SUBSTITUTE(INDEX(IF(PURCHASE_DESCRIPTION&lt;&gt;"",PURCHASE_DESCRIPTION&amp;":","")&amp;A7:A42,SMALL(IF(ISNUMBER(AK7:AK42),IF(AK7:AK42&gt;0,IF(AN7:AN42&lt;&gt;"",ROW(AK7:AK42)-MIN(ROW(AK7:AK42))+1))),ROW()-ROW(A$45)+1)),",",";"),"
",";"),",",SUBSTITUTE(SUBSTITUTE(INDEX(IF(PURCHASE_DESCRIPTION&lt;&gt;"",PURCHASE_DESCRIPTION&amp;":","")&amp;C7:C42,SMALL(IF(ISNUMBER(AK7:AK42),IF(AK7:AK42&gt;0,IF(AN7:AN42&lt;&gt;"",ROW(AK7:AK42)-MIN(ROW(AK7:AK42))+1))),ROW()-ROW(A$45)+1)),",",";"),"
",";"),",",SUBSTITUTE(SUBSTITUTE(INDEX(IF(PURCHASE_DESCRIPTION&lt;&gt;"",PURCHASE_DESCRIPTION&amp;":","")&amp;F7:F42,SMALL(IF(ISNUMBER(AK7:AK42),IF(AK7:AK42&gt;0,IF(AN7:AN42&lt;&gt;"",ROW(AK7:AK42)-MIN(ROW(AK7:AK42))+1))),ROW()-ROW(A$45)+1)),",",";"),"
",";"),",",SUBSTITUTE(SUBSTITUTE(INDEX(IF(PURCHASE_DESCRIPTION&lt;&gt;"",PURCHASE_DESCRIPTION&amp;":","")&amp;D7:D42,SMALL(IF(ISNUMBER(AK7:AK42),IF(AK7:AK42&gt;0,IF(AN7:AN42&lt;&gt;"",ROW(AK7:AK42)-MIN(ROW(AK7:AK42))+1))),ROW()-ROW(A$45)+1)),",",";"),"
",";")),"")</f>
        <v>0</v>
      </c>
      <c r="AP70">
        <f t="array" ref="AP70">IFERROR(CONCATENATE(INDEX(AS7:AS42,SMALL(IF(ISNUMBER(AP7:AP42),IF(AP7:AP42&gt;0,IF(AS7:AS42&lt;&gt;"",ROW(AP7:AP42)-MIN(ROW(AP7:AP42))+1))),ROW()-ROW(A$45)+1)),",",TEXT(INDEX(AP7:AP42,SMALL(IF(ISNUMBER(AP7:AP42),IF(AP7:AP42&gt;0,IF(AS7:AS42&lt;&gt;"",ROW(AP7:AP42)-MIN(ROW(AP7:AP42))+1))),ROW()-ROW(A$45)+1)),"##0"),",",,",",,",",,",",INDEX(G7:G42,SMALL(IF(ISNUMBER(AP7:AP42),IF(AP7:AP42&gt;0,IF(AS7:AS42&lt;&gt;"",ROW(AP7:AP42)-MIN(ROW(AP7:AP42))+1))),ROW()-ROW(A$45)+1)),",",SUBSTITUTE(INDEX(IF(PURCHASE_DESCRIPTION&lt;&gt;"",PURCHASE_DESCRIPTION&amp;":","")&amp;A7:A42,SMALL(IF(ISNUMBER(AP7:AP42),IF(AP7:AP42&gt;0,IF(AS7:AS42&lt;&gt;"",ROW(AP7:AP42)-MIN(ROW(AP7:AP42))+1))),ROW()-ROW(A$45)+1)),",",";")),"")</f>
        <v>0</v>
      </c>
      <c r="AU70">
        <f t="array" ref="AU70">IFERROR(CONCATENATE(INDEX(AX7:AX42,SMALL(IF(ISNUMBER(AU7:AU42),IF(AU7:AU42&gt;0,IF(AX7:AX42&lt;&gt;"",ROW(AU7:AU42)-MIN(ROW(AU7:AU42))+1))),ROW()-ROW(A$45)+1))," ",TEXT(INDEX(AU7:AU42,SMALL(IF(ISNUMBER(AU7:AU42),IF(AU7:AU42&gt;0,IF(AX7:AX42&lt;&gt;"",ROW(AU7:AU42)-MIN(ROW(AU7:AU42))+1))),ROW()-ROW(A$45)+1)),"##0")," ",SUBSTITUTE(INDEX(IF(PURCHASE_DESCRIPTION&lt;&gt;"",PURCHASE_DESCRIPTION&amp;":","")&amp;A7:A42,SMALL(IF(ISNUMBER(AU7:AU42),IF(AU7:AU42&gt;0,IF(AX7:AX42&lt;&gt;"",ROW(AU7:AU42)-MIN(ROW(AU7:AU42))+1))),ROW()-ROW(A$45)+1))," ",";")),"")</f>
        <v>0</v>
      </c>
    </row>
    <row r="71" spans="12:47">
      <c r="L71">
        <f t="array" ref="L71">IFERROR(CONCATENATE(INDEX(O7:O42,SMALL(IF(ISNUMBER(L7:L42),IF(L7:L42&gt;0,IF(O7:O42&lt;&gt;"",ROW(L7:L42)-MIN(ROW(L7:L42))+1))),ROW()-ROW(A$45)+1)),",",TEXT(INDEX(L7:L42,SMALL(IF(ISNUMBER(L7:L42),IF(L7:L42&gt;0,IF(O7:O42&lt;&gt;"",ROW(L7:L42)-MIN(ROW(L7:L42))+1))),ROW()-ROW(A$45)+1)),"##0"),",",SUBSTITUTE(INDEX(IF(PURCHASE_DESCRIPTION&lt;&gt;"",PURCHASE_DESCRIPTION&amp;":","")&amp;A7:A42,SMALL(IF(ISNUMBER(L7:L42),IF(L7:L42&gt;0,IF(O7:O42&lt;&gt;"",ROW(L7:L42)-MIN(ROW(L7:L42))+1))),ROW()-ROW(A$45)+1)),",",";")),"")</f>
        <v>0</v>
      </c>
      <c r="Q71">
        <f t="array" ref="Q71">IFERROR(CONCATENATE(TEXT(INDEX(Q7:Q42,SMALL(IF(ISNUMBER(Q7:Q42),IF(Q7:Q42&gt;0,IF(T7:T42&lt;&gt;"",ROW(Q7:Q42)-MIN(ROW(Q7:Q42))+1))),ROW()-ROW(A$45)+1)),"##0"),",",INDEX(T7:T42,SMALL(IF(ISNUMBER(Q7:Q42),IF(Q7:Q42&gt;0,IF(T7:T42&lt;&gt;"",ROW(Q7:Q42)-MIN(ROW(Q7:Q42))+1))),ROW()-ROW(A$45)+1)),",",SUBSTITUTE(INDEX(IF(PURCHASE_DESCRIPTION&lt;&gt;"",PURCHASE_DESCRIPTION&amp;":","")&amp;A7:A42,SMALL(IF(ISNUMBER(Q7:Q42),IF(Q7:Q42&gt;0,IF(T7:T42&lt;&gt;"",ROW(Q7:Q42)-MIN(ROW(Q7:Q42))+1))),ROW()-ROW(A$45)+1)),",",";")),"")</f>
        <v>0</v>
      </c>
      <c r="V71">
        <f t="array" ref="V71">IFERROR(CONCATENATE(INDEX(Y7:Y42,SMALL(IF(ISNUMBER(V7:V42),IF(V7:V42&gt;0,IF(Y7:Y42&lt;&gt;"",ROW(V7:V42)-MIN(ROW(V7:V42))+1))),ROW()-ROW(A$45)+1)),",",TEXT(INDEX(V7:V42,SMALL(IF(ISNUMBER(V7:V42),IF(V7:V42&gt;0,IF(Y7:Y42&lt;&gt;"",ROW(V7:V42)-MIN(ROW(V7:V42))+1))),ROW()-ROW(A$45)+1)),"##0"),",",SUBSTITUTE(SUBSTITUTE(INDEX(IF(PURCHASE_DESCRIPTION&lt;&gt;"",PURCHASE_DESCRIPTION&amp;":","")&amp;A7:A42,SMALL(IF(ISNUMBER(V7:V42),IF(V7:V42&gt;0,IF(Y7:Y42&lt;&gt;"",ROW(V7:V42)-MIN(ROW(V7:V42))+1))),ROW()-ROW(A$45)+1)),",",";"),"
",";"),",",SUBSTITUTE(SUBSTITUTE(INDEX(IF(PURCHASE_DESCRIPTION&lt;&gt;"",PURCHASE_DESCRIPTION&amp;":","")&amp;C7:C42,SMALL(IF(ISNUMBER(V7:V42),IF(V7:V42&gt;0,IF(Y7:Y42&lt;&gt;"",ROW(V7:V42)-MIN(ROW(V7:V42))+1))),ROW()-ROW(A$45)+1)),",",";"),"
",";"),",",SUBSTITUTE(SUBSTITUTE(INDEX(IF(PURCHASE_DESCRIPTION&lt;&gt;"",PURCHASE_DESCRIPTION&amp;":","")&amp;F7:F42,SMALL(IF(ISNUMBER(V7:V42),IF(V7:V42&gt;0,IF(Y7:Y42&lt;&gt;"",ROW(V7:V42)-MIN(ROW(V7:V42))+1))),ROW()-ROW(A$45)+1)),",",";"),"
",";"),",",SUBSTITUTE(SUBSTITUTE(INDEX(IF(PURCHASE_DESCRIPTION&lt;&gt;"",PURCHASE_DESCRIPTION&amp;":","")&amp;D7:D42,SMALL(IF(ISNUMBER(V7:V42),IF(V7:V42&gt;0,IF(Y7:Y42&lt;&gt;"",ROW(V7:V42)-MIN(ROW(V7:V42))+1))),ROW()-ROW(A$45)+1)),",",";"),"
",";")),"")</f>
        <v>0</v>
      </c>
      <c r="AA71">
        <f t="array" ref="AA71">IFERROR(CONCATENATE(TEXT(INDEX(AA7:AA42,SMALL(IF(ISNUMBER(AA7:AA42),IF(AA7:AA42&gt;0,IF(AD7:AD42&lt;&gt;"",ROW(AA7:AA42)-MIN(ROW(AA7:AA42))+1))),ROW()-ROW(A$46)+1)),"##0"),",",SUBSTITUTE(INDEX(IF(PURCHASE_DESCRIPTION&lt;&gt;"",PURCHASE_DESCRIPTION&amp;":","")&amp;A7:A42,SMALL(IF(ISNUMBER(AA7:AA42),IF(AA7:AA42&gt;0,IF(AD7:AD42&lt;&gt;"",ROW(AA7:AA42)-MIN(ROW(AA7:AA42))+1))),ROW()-ROW(A$46)+1)),",",";"),",",SUBSTITUTE(INDEX(IF(PURCHASE_DESCRIPTION&lt;&gt;"",PURCHASE_DESCRIPTION&amp;":","")&amp;E7:E42,SMALL(IF(ISNUMBER(AA7:AA42),IF(AA7:AA42&gt;0,IF(AD7:AD42&lt;&gt;"",ROW(AA7:AA42)-MIN(ROW(AA7:AA42))+1))),ROW()-ROW(A$46)+1)),",",";"),",",INDEX(AD7:AD42,SMALL(IF(ISNUMBER(AA7:AA42),IF(AA7:AA42&gt;0,IF(AD7:AD42&lt;&gt;"",ROW(AA7:AA42)-MIN(ROW(AA7:AA42))+1))),ROW()-ROW(A$46)+1))),"")</f>
        <v>0</v>
      </c>
      <c r="AF71">
        <f t="array" ref="AF71">IFERROR(CONCATENATE(INDEX(AI7:AI42,SMALL(IF(ISNUMBER(AF7:AF42),IF(AF7:AF42&gt;0,IF(AI7:AI42&lt;&gt;"",ROW(AF7:AF42)-MIN(ROW(AF7:AF42))+1))),ROW()-ROW(A$45)+1)),"|",TEXT(INDEX(AF7:AF42,SMALL(IF(ISNUMBER(AF7:AF42),IF(AF7:AF42&gt;0,IF(AI7:AI42&lt;&gt;"",ROW(AF7:AF42)-MIN(ROW(AF7:AF42))+1))),ROW()-ROW(A$45)+1)),"##0"),"|",SUBSTITUTE(SUBSTITUTE(INDEX(IF(PURCHASE_DESCRIPTION&lt;&gt;"",PURCHASE_DESCRIPTION&amp;":","")&amp;A7:A42,SMALL(IF(ISNUMBER(AF7:AF42),IF(AF7:AF42&gt;0,IF(AI7:AI42&lt;&gt;"",ROW(AF7:AF42)-MIN(ROW(AF7:AF42))+1))),ROW()-ROW(A$45)+1)),"|",";")," ","_")),"")</f>
        <v>0</v>
      </c>
      <c r="AK71">
        <f t="array" ref="AK71">IFERROR(CONCATENATE(INDEX(AN7:AN42,SMALL(IF(ISNUMBER(AK7:AK42),IF(AK7:AK42&gt;0,IF(AN7:AN42&lt;&gt;"",ROW(AK7:AK42)-MIN(ROW(AK7:AK42))+1))),ROW()-ROW(A$45)+1)),",",TEXT(INDEX(AK7:AK42,SMALL(IF(ISNUMBER(AK7:AK42),IF(AK7:AK42&gt;0,IF(AN7:AN42&lt;&gt;"",ROW(AK7:AK42)-MIN(ROW(AK7:AK42))+1))),ROW()-ROW(A$45)+1)),"##0"),",",SUBSTITUTE(SUBSTITUTE(INDEX(IF(PURCHASE_DESCRIPTION&lt;&gt;"",PURCHASE_DESCRIPTION&amp;":","")&amp;A7:A42,SMALL(IF(ISNUMBER(AK7:AK42),IF(AK7:AK42&gt;0,IF(AN7:AN42&lt;&gt;"",ROW(AK7:AK42)-MIN(ROW(AK7:AK42))+1))),ROW()-ROW(A$45)+1)),",",";"),"
",";"),",",SUBSTITUTE(SUBSTITUTE(INDEX(IF(PURCHASE_DESCRIPTION&lt;&gt;"",PURCHASE_DESCRIPTION&amp;":","")&amp;C7:C42,SMALL(IF(ISNUMBER(AK7:AK42),IF(AK7:AK42&gt;0,IF(AN7:AN42&lt;&gt;"",ROW(AK7:AK42)-MIN(ROW(AK7:AK42))+1))),ROW()-ROW(A$45)+1)),",",";"),"
",";"),",",SUBSTITUTE(SUBSTITUTE(INDEX(IF(PURCHASE_DESCRIPTION&lt;&gt;"",PURCHASE_DESCRIPTION&amp;":","")&amp;F7:F42,SMALL(IF(ISNUMBER(AK7:AK42),IF(AK7:AK42&gt;0,IF(AN7:AN42&lt;&gt;"",ROW(AK7:AK42)-MIN(ROW(AK7:AK42))+1))),ROW()-ROW(A$45)+1)),",",";"),"
",";"),",",SUBSTITUTE(SUBSTITUTE(INDEX(IF(PURCHASE_DESCRIPTION&lt;&gt;"",PURCHASE_DESCRIPTION&amp;":","")&amp;D7:D42,SMALL(IF(ISNUMBER(AK7:AK42),IF(AK7:AK42&gt;0,IF(AN7:AN42&lt;&gt;"",ROW(AK7:AK42)-MIN(ROW(AK7:AK42))+1))),ROW()-ROW(A$45)+1)),",",";"),"
",";")),"")</f>
        <v>0</v>
      </c>
      <c r="AP71">
        <f t="array" ref="AP71">IFERROR(CONCATENATE(INDEX(AS7:AS42,SMALL(IF(ISNUMBER(AP7:AP42),IF(AP7:AP42&gt;0,IF(AS7:AS42&lt;&gt;"",ROW(AP7:AP42)-MIN(ROW(AP7:AP42))+1))),ROW()-ROW(A$45)+1)),",",TEXT(INDEX(AP7:AP42,SMALL(IF(ISNUMBER(AP7:AP42),IF(AP7:AP42&gt;0,IF(AS7:AS42&lt;&gt;"",ROW(AP7:AP42)-MIN(ROW(AP7:AP42))+1))),ROW()-ROW(A$45)+1)),"##0"),",",,",",,",",,",",INDEX(G7:G42,SMALL(IF(ISNUMBER(AP7:AP42),IF(AP7:AP42&gt;0,IF(AS7:AS42&lt;&gt;"",ROW(AP7:AP42)-MIN(ROW(AP7:AP42))+1))),ROW()-ROW(A$45)+1)),",",SUBSTITUTE(INDEX(IF(PURCHASE_DESCRIPTION&lt;&gt;"",PURCHASE_DESCRIPTION&amp;":","")&amp;A7:A42,SMALL(IF(ISNUMBER(AP7:AP42),IF(AP7:AP42&gt;0,IF(AS7:AS42&lt;&gt;"",ROW(AP7:AP42)-MIN(ROW(AP7:AP42))+1))),ROW()-ROW(A$45)+1)),",",";")),"")</f>
        <v>0</v>
      </c>
      <c r="AU71">
        <f t="array" ref="AU71">IFERROR(CONCATENATE(INDEX(AX7:AX42,SMALL(IF(ISNUMBER(AU7:AU42),IF(AU7:AU42&gt;0,IF(AX7:AX42&lt;&gt;"",ROW(AU7:AU42)-MIN(ROW(AU7:AU42))+1))),ROW()-ROW(A$45)+1))," ",TEXT(INDEX(AU7:AU42,SMALL(IF(ISNUMBER(AU7:AU42),IF(AU7:AU42&gt;0,IF(AX7:AX42&lt;&gt;"",ROW(AU7:AU42)-MIN(ROW(AU7:AU42))+1))),ROW()-ROW(A$45)+1)),"##0")," ",SUBSTITUTE(INDEX(IF(PURCHASE_DESCRIPTION&lt;&gt;"",PURCHASE_DESCRIPTION&amp;":","")&amp;A7:A42,SMALL(IF(ISNUMBER(AU7:AU42),IF(AU7:AU42&gt;0,IF(AX7:AX42&lt;&gt;"",ROW(AU7:AU42)-MIN(ROW(AU7:AU42))+1))),ROW()-ROW(A$45)+1))," ",";")),"")</f>
        <v>0</v>
      </c>
    </row>
    <row r="72" spans="12:47">
      <c r="L72">
        <f t="array" ref="L72">IFERROR(CONCATENATE(INDEX(O7:O42,SMALL(IF(ISNUMBER(L7:L42),IF(L7:L42&gt;0,IF(O7:O42&lt;&gt;"",ROW(L7:L42)-MIN(ROW(L7:L42))+1))),ROW()-ROW(A$45)+1)),",",TEXT(INDEX(L7:L42,SMALL(IF(ISNUMBER(L7:L42),IF(L7:L42&gt;0,IF(O7:O42&lt;&gt;"",ROW(L7:L42)-MIN(ROW(L7:L42))+1))),ROW()-ROW(A$45)+1)),"##0"),",",SUBSTITUTE(INDEX(IF(PURCHASE_DESCRIPTION&lt;&gt;"",PURCHASE_DESCRIPTION&amp;":","")&amp;A7:A42,SMALL(IF(ISNUMBER(L7:L42),IF(L7:L42&gt;0,IF(O7:O42&lt;&gt;"",ROW(L7:L42)-MIN(ROW(L7:L42))+1))),ROW()-ROW(A$45)+1)),",",";")),"")</f>
        <v>0</v>
      </c>
      <c r="Q72">
        <f t="array" ref="Q72">IFERROR(CONCATENATE(TEXT(INDEX(Q7:Q42,SMALL(IF(ISNUMBER(Q7:Q42),IF(Q7:Q42&gt;0,IF(T7:T42&lt;&gt;"",ROW(Q7:Q42)-MIN(ROW(Q7:Q42))+1))),ROW()-ROW(A$45)+1)),"##0"),",",INDEX(T7:T42,SMALL(IF(ISNUMBER(Q7:Q42),IF(Q7:Q42&gt;0,IF(T7:T42&lt;&gt;"",ROW(Q7:Q42)-MIN(ROW(Q7:Q42))+1))),ROW()-ROW(A$45)+1)),",",SUBSTITUTE(INDEX(IF(PURCHASE_DESCRIPTION&lt;&gt;"",PURCHASE_DESCRIPTION&amp;":","")&amp;A7:A42,SMALL(IF(ISNUMBER(Q7:Q42),IF(Q7:Q42&gt;0,IF(T7:T42&lt;&gt;"",ROW(Q7:Q42)-MIN(ROW(Q7:Q42))+1))),ROW()-ROW(A$45)+1)),",",";")),"")</f>
        <v>0</v>
      </c>
      <c r="V72">
        <f t="array" ref="V72">IFERROR(CONCATENATE(INDEX(Y7:Y42,SMALL(IF(ISNUMBER(V7:V42),IF(V7:V42&gt;0,IF(Y7:Y42&lt;&gt;"",ROW(V7:V42)-MIN(ROW(V7:V42))+1))),ROW()-ROW(A$45)+1)),",",TEXT(INDEX(V7:V42,SMALL(IF(ISNUMBER(V7:V42),IF(V7:V42&gt;0,IF(Y7:Y42&lt;&gt;"",ROW(V7:V42)-MIN(ROW(V7:V42))+1))),ROW()-ROW(A$45)+1)),"##0"),",",SUBSTITUTE(SUBSTITUTE(INDEX(IF(PURCHASE_DESCRIPTION&lt;&gt;"",PURCHASE_DESCRIPTION&amp;":","")&amp;A7:A42,SMALL(IF(ISNUMBER(V7:V42),IF(V7:V42&gt;0,IF(Y7:Y42&lt;&gt;"",ROW(V7:V42)-MIN(ROW(V7:V42))+1))),ROW()-ROW(A$45)+1)),",",";"),"
",";"),",",SUBSTITUTE(SUBSTITUTE(INDEX(IF(PURCHASE_DESCRIPTION&lt;&gt;"",PURCHASE_DESCRIPTION&amp;":","")&amp;C7:C42,SMALL(IF(ISNUMBER(V7:V42),IF(V7:V42&gt;0,IF(Y7:Y42&lt;&gt;"",ROW(V7:V42)-MIN(ROW(V7:V42))+1))),ROW()-ROW(A$45)+1)),",",";"),"
",";"),",",SUBSTITUTE(SUBSTITUTE(INDEX(IF(PURCHASE_DESCRIPTION&lt;&gt;"",PURCHASE_DESCRIPTION&amp;":","")&amp;F7:F42,SMALL(IF(ISNUMBER(V7:V42),IF(V7:V42&gt;0,IF(Y7:Y42&lt;&gt;"",ROW(V7:V42)-MIN(ROW(V7:V42))+1))),ROW()-ROW(A$45)+1)),",",";"),"
",";"),",",SUBSTITUTE(SUBSTITUTE(INDEX(IF(PURCHASE_DESCRIPTION&lt;&gt;"",PURCHASE_DESCRIPTION&amp;":","")&amp;D7:D42,SMALL(IF(ISNUMBER(V7:V42),IF(V7:V42&gt;0,IF(Y7:Y42&lt;&gt;"",ROW(V7:V42)-MIN(ROW(V7:V42))+1))),ROW()-ROW(A$45)+1)),",",";"),"
",";")),"")</f>
        <v>0</v>
      </c>
      <c r="AA72">
        <f t="array" ref="AA72">IFERROR(CONCATENATE(TEXT(INDEX(AA7:AA42,SMALL(IF(ISNUMBER(AA7:AA42),IF(AA7:AA42&gt;0,IF(AD7:AD42&lt;&gt;"",ROW(AA7:AA42)-MIN(ROW(AA7:AA42))+1))),ROW()-ROW(A$46)+1)),"##0"),",",SUBSTITUTE(INDEX(IF(PURCHASE_DESCRIPTION&lt;&gt;"",PURCHASE_DESCRIPTION&amp;":","")&amp;A7:A42,SMALL(IF(ISNUMBER(AA7:AA42),IF(AA7:AA42&gt;0,IF(AD7:AD42&lt;&gt;"",ROW(AA7:AA42)-MIN(ROW(AA7:AA42))+1))),ROW()-ROW(A$46)+1)),",",";"),",",SUBSTITUTE(INDEX(IF(PURCHASE_DESCRIPTION&lt;&gt;"",PURCHASE_DESCRIPTION&amp;":","")&amp;E7:E42,SMALL(IF(ISNUMBER(AA7:AA42),IF(AA7:AA42&gt;0,IF(AD7:AD42&lt;&gt;"",ROW(AA7:AA42)-MIN(ROW(AA7:AA42))+1))),ROW()-ROW(A$46)+1)),",",";"),",",INDEX(AD7:AD42,SMALL(IF(ISNUMBER(AA7:AA42),IF(AA7:AA42&gt;0,IF(AD7:AD42&lt;&gt;"",ROW(AA7:AA42)-MIN(ROW(AA7:AA42))+1))),ROW()-ROW(A$46)+1))),"")</f>
        <v>0</v>
      </c>
      <c r="AF72">
        <f t="array" ref="AF72">IFERROR(CONCATENATE(INDEX(AI7:AI42,SMALL(IF(ISNUMBER(AF7:AF42),IF(AF7:AF42&gt;0,IF(AI7:AI42&lt;&gt;"",ROW(AF7:AF42)-MIN(ROW(AF7:AF42))+1))),ROW()-ROW(A$45)+1)),"|",TEXT(INDEX(AF7:AF42,SMALL(IF(ISNUMBER(AF7:AF42),IF(AF7:AF42&gt;0,IF(AI7:AI42&lt;&gt;"",ROW(AF7:AF42)-MIN(ROW(AF7:AF42))+1))),ROW()-ROW(A$45)+1)),"##0"),"|",SUBSTITUTE(SUBSTITUTE(INDEX(IF(PURCHASE_DESCRIPTION&lt;&gt;"",PURCHASE_DESCRIPTION&amp;":","")&amp;A7:A42,SMALL(IF(ISNUMBER(AF7:AF42),IF(AF7:AF42&gt;0,IF(AI7:AI42&lt;&gt;"",ROW(AF7:AF42)-MIN(ROW(AF7:AF42))+1))),ROW()-ROW(A$45)+1)),"|",";")," ","_")),"")</f>
        <v>0</v>
      </c>
      <c r="AK72">
        <f t="array" ref="AK72">IFERROR(CONCATENATE(INDEX(AN7:AN42,SMALL(IF(ISNUMBER(AK7:AK42),IF(AK7:AK42&gt;0,IF(AN7:AN42&lt;&gt;"",ROW(AK7:AK42)-MIN(ROW(AK7:AK42))+1))),ROW()-ROW(A$45)+1)),",",TEXT(INDEX(AK7:AK42,SMALL(IF(ISNUMBER(AK7:AK42),IF(AK7:AK42&gt;0,IF(AN7:AN42&lt;&gt;"",ROW(AK7:AK42)-MIN(ROW(AK7:AK42))+1))),ROW()-ROW(A$45)+1)),"##0"),",",SUBSTITUTE(SUBSTITUTE(INDEX(IF(PURCHASE_DESCRIPTION&lt;&gt;"",PURCHASE_DESCRIPTION&amp;":","")&amp;A7:A42,SMALL(IF(ISNUMBER(AK7:AK42),IF(AK7:AK42&gt;0,IF(AN7:AN42&lt;&gt;"",ROW(AK7:AK42)-MIN(ROW(AK7:AK42))+1))),ROW()-ROW(A$45)+1)),",",";"),"
",";"),",",SUBSTITUTE(SUBSTITUTE(INDEX(IF(PURCHASE_DESCRIPTION&lt;&gt;"",PURCHASE_DESCRIPTION&amp;":","")&amp;C7:C42,SMALL(IF(ISNUMBER(AK7:AK42),IF(AK7:AK42&gt;0,IF(AN7:AN42&lt;&gt;"",ROW(AK7:AK42)-MIN(ROW(AK7:AK42))+1))),ROW()-ROW(A$45)+1)),",",";"),"
",";"),",",SUBSTITUTE(SUBSTITUTE(INDEX(IF(PURCHASE_DESCRIPTION&lt;&gt;"",PURCHASE_DESCRIPTION&amp;":","")&amp;F7:F42,SMALL(IF(ISNUMBER(AK7:AK42),IF(AK7:AK42&gt;0,IF(AN7:AN42&lt;&gt;"",ROW(AK7:AK42)-MIN(ROW(AK7:AK42))+1))),ROW()-ROW(A$45)+1)),",",";"),"
",";"),",",SUBSTITUTE(SUBSTITUTE(INDEX(IF(PURCHASE_DESCRIPTION&lt;&gt;"",PURCHASE_DESCRIPTION&amp;":","")&amp;D7:D42,SMALL(IF(ISNUMBER(AK7:AK42),IF(AK7:AK42&gt;0,IF(AN7:AN42&lt;&gt;"",ROW(AK7:AK42)-MIN(ROW(AK7:AK42))+1))),ROW()-ROW(A$45)+1)),",",";"),"
",";")),"")</f>
        <v>0</v>
      </c>
      <c r="AP72">
        <f t="array" ref="AP72">IFERROR(CONCATENATE(INDEX(AS7:AS42,SMALL(IF(ISNUMBER(AP7:AP42),IF(AP7:AP42&gt;0,IF(AS7:AS42&lt;&gt;"",ROW(AP7:AP42)-MIN(ROW(AP7:AP42))+1))),ROW()-ROW(A$45)+1)),",",TEXT(INDEX(AP7:AP42,SMALL(IF(ISNUMBER(AP7:AP42),IF(AP7:AP42&gt;0,IF(AS7:AS42&lt;&gt;"",ROW(AP7:AP42)-MIN(ROW(AP7:AP42))+1))),ROW()-ROW(A$45)+1)),"##0"),",",,",",,",",,",",INDEX(G7:G42,SMALL(IF(ISNUMBER(AP7:AP42),IF(AP7:AP42&gt;0,IF(AS7:AS42&lt;&gt;"",ROW(AP7:AP42)-MIN(ROW(AP7:AP42))+1))),ROW()-ROW(A$45)+1)),",",SUBSTITUTE(INDEX(IF(PURCHASE_DESCRIPTION&lt;&gt;"",PURCHASE_DESCRIPTION&amp;":","")&amp;A7:A42,SMALL(IF(ISNUMBER(AP7:AP42),IF(AP7:AP42&gt;0,IF(AS7:AS42&lt;&gt;"",ROW(AP7:AP42)-MIN(ROW(AP7:AP42))+1))),ROW()-ROW(A$45)+1)),",",";")),"")</f>
        <v>0</v>
      </c>
      <c r="AU72">
        <f t="array" ref="AU72">IFERROR(CONCATENATE(INDEX(AX7:AX42,SMALL(IF(ISNUMBER(AU7:AU42),IF(AU7:AU42&gt;0,IF(AX7:AX42&lt;&gt;"",ROW(AU7:AU42)-MIN(ROW(AU7:AU42))+1))),ROW()-ROW(A$45)+1))," ",TEXT(INDEX(AU7:AU42,SMALL(IF(ISNUMBER(AU7:AU42),IF(AU7:AU42&gt;0,IF(AX7:AX42&lt;&gt;"",ROW(AU7:AU42)-MIN(ROW(AU7:AU42))+1))),ROW()-ROW(A$45)+1)),"##0")," ",SUBSTITUTE(INDEX(IF(PURCHASE_DESCRIPTION&lt;&gt;"",PURCHASE_DESCRIPTION&amp;":","")&amp;A7:A42,SMALL(IF(ISNUMBER(AU7:AU42),IF(AU7:AU42&gt;0,IF(AX7:AX42&lt;&gt;"",ROW(AU7:AU42)-MIN(ROW(AU7:AU42))+1))),ROW()-ROW(A$45)+1))," ",";")),"")</f>
        <v>0</v>
      </c>
    </row>
    <row r="73" spans="12:47">
      <c r="L73">
        <f t="array" ref="L73">IFERROR(CONCATENATE(INDEX(O7:O42,SMALL(IF(ISNUMBER(L7:L42),IF(L7:L42&gt;0,IF(O7:O42&lt;&gt;"",ROW(L7:L42)-MIN(ROW(L7:L42))+1))),ROW()-ROW(A$45)+1)),",",TEXT(INDEX(L7:L42,SMALL(IF(ISNUMBER(L7:L42),IF(L7:L42&gt;0,IF(O7:O42&lt;&gt;"",ROW(L7:L42)-MIN(ROW(L7:L42))+1))),ROW()-ROW(A$45)+1)),"##0"),",",SUBSTITUTE(INDEX(IF(PURCHASE_DESCRIPTION&lt;&gt;"",PURCHASE_DESCRIPTION&amp;":","")&amp;A7:A42,SMALL(IF(ISNUMBER(L7:L42),IF(L7:L42&gt;0,IF(O7:O42&lt;&gt;"",ROW(L7:L42)-MIN(ROW(L7:L42))+1))),ROW()-ROW(A$45)+1)),",",";")),"")</f>
        <v>0</v>
      </c>
      <c r="Q73">
        <f t="array" ref="Q73">IFERROR(CONCATENATE(TEXT(INDEX(Q7:Q42,SMALL(IF(ISNUMBER(Q7:Q42),IF(Q7:Q42&gt;0,IF(T7:T42&lt;&gt;"",ROW(Q7:Q42)-MIN(ROW(Q7:Q42))+1))),ROW()-ROW(A$45)+1)),"##0"),",",INDEX(T7:T42,SMALL(IF(ISNUMBER(Q7:Q42),IF(Q7:Q42&gt;0,IF(T7:T42&lt;&gt;"",ROW(Q7:Q42)-MIN(ROW(Q7:Q42))+1))),ROW()-ROW(A$45)+1)),",",SUBSTITUTE(INDEX(IF(PURCHASE_DESCRIPTION&lt;&gt;"",PURCHASE_DESCRIPTION&amp;":","")&amp;A7:A42,SMALL(IF(ISNUMBER(Q7:Q42),IF(Q7:Q42&gt;0,IF(T7:T42&lt;&gt;"",ROW(Q7:Q42)-MIN(ROW(Q7:Q42))+1))),ROW()-ROW(A$45)+1)),",",";")),"")</f>
        <v>0</v>
      </c>
      <c r="V73">
        <f t="array" ref="V73">IFERROR(CONCATENATE(INDEX(Y7:Y42,SMALL(IF(ISNUMBER(V7:V42),IF(V7:V42&gt;0,IF(Y7:Y42&lt;&gt;"",ROW(V7:V42)-MIN(ROW(V7:V42))+1))),ROW()-ROW(A$45)+1)),",",TEXT(INDEX(V7:V42,SMALL(IF(ISNUMBER(V7:V42),IF(V7:V42&gt;0,IF(Y7:Y42&lt;&gt;"",ROW(V7:V42)-MIN(ROW(V7:V42))+1))),ROW()-ROW(A$45)+1)),"##0"),",",SUBSTITUTE(SUBSTITUTE(INDEX(IF(PURCHASE_DESCRIPTION&lt;&gt;"",PURCHASE_DESCRIPTION&amp;":","")&amp;A7:A42,SMALL(IF(ISNUMBER(V7:V42),IF(V7:V42&gt;0,IF(Y7:Y42&lt;&gt;"",ROW(V7:V42)-MIN(ROW(V7:V42))+1))),ROW()-ROW(A$45)+1)),",",";"),"
",";"),",",SUBSTITUTE(SUBSTITUTE(INDEX(IF(PURCHASE_DESCRIPTION&lt;&gt;"",PURCHASE_DESCRIPTION&amp;":","")&amp;C7:C42,SMALL(IF(ISNUMBER(V7:V42),IF(V7:V42&gt;0,IF(Y7:Y42&lt;&gt;"",ROW(V7:V42)-MIN(ROW(V7:V42))+1))),ROW()-ROW(A$45)+1)),",",";"),"
",";"),",",SUBSTITUTE(SUBSTITUTE(INDEX(IF(PURCHASE_DESCRIPTION&lt;&gt;"",PURCHASE_DESCRIPTION&amp;":","")&amp;F7:F42,SMALL(IF(ISNUMBER(V7:V42),IF(V7:V42&gt;0,IF(Y7:Y42&lt;&gt;"",ROW(V7:V42)-MIN(ROW(V7:V42))+1))),ROW()-ROW(A$45)+1)),",",";"),"
",";"),",",SUBSTITUTE(SUBSTITUTE(INDEX(IF(PURCHASE_DESCRIPTION&lt;&gt;"",PURCHASE_DESCRIPTION&amp;":","")&amp;D7:D42,SMALL(IF(ISNUMBER(V7:V42),IF(V7:V42&gt;0,IF(Y7:Y42&lt;&gt;"",ROW(V7:V42)-MIN(ROW(V7:V42))+1))),ROW()-ROW(A$45)+1)),",",";"),"
",";")),"")</f>
        <v>0</v>
      </c>
      <c r="AA73">
        <f t="array" ref="AA73">IFERROR(CONCATENATE(TEXT(INDEX(AA7:AA42,SMALL(IF(ISNUMBER(AA7:AA42),IF(AA7:AA42&gt;0,IF(AD7:AD42&lt;&gt;"",ROW(AA7:AA42)-MIN(ROW(AA7:AA42))+1))),ROW()-ROW(A$46)+1)),"##0"),",",SUBSTITUTE(INDEX(IF(PURCHASE_DESCRIPTION&lt;&gt;"",PURCHASE_DESCRIPTION&amp;":","")&amp;A7:A42,SMALL(IF(ISNUMBER(AA7:AA42),IF(AA7:AA42&gt;0,IF(AD7:AD42&lt;&gt;"",ROW(AA7:AA42)-MIN(ROW(AA7:AA42))+1))),ROW()-ROW(A$46)+1)),",",";"),",",SUBSTITUTE(INDEX(IF(PURCHASE_DESCRIPTION&lt;&gt;"",PURCHASE_DESCRIPTION&amp;":","")&amp;E7:E42,SMALL(IF(ISNUMBER(AA7:AA42),IF(AA7:AA42&gt;0,IF(AD7:AD42&lt;&gt;"",ROW(AA7:AA42)-MIN(ROW(AA7:AA42))+1))),ROW()-ROW(A$46)+1)),",",";"),",",INDEX(AD7:AD42,SMALL(IF(ISNUMBER(AA7:AA42),IF(AA7:AA42&gt;0,IF(AD7:AD42&lt;&gt;"",ROW(AA7:AA42)-MIN(ROW(AA7:AA42))+1))),ROW()-ROW(A$46)+1))),"")</f>
        <v>0</v>
      </c>
      <c r="AF73">
        <f t="array" ref="AF73">IFERROR(CONCATENATE(INDEX(AI7:AI42,SMALL(IF(ISNUMBER(AF7:AF42),IF(AF7:AF42&gt;0,IF(AI7:AI42&lt;&gt;"",ROW(AF7:AF42)-MIN(ROW(AF7:AF42))+1))),ROW()-ROW(A$45)+1)),"|",TEXT(INDEX(AF7:AF42,SMALL(IF(ISNUMBER(AF7:AF42),IF(AF7:AF42&gt;0,IF(AI7:AI42&lt;&gt;"",ROW(AF7:AF42)-MIN(ROW(AF7:AF42))+1))),ROW()-ROW(A$45)+1)),"##0"),"|",SUBSTITUTE(SUBSTITUTE(INDEX(IF(PURCHASE_DESCRIPTION&lt;&gt;"",PURCHASE_DESCRIPTION&amp;":","")&amp;A7:A42,SMALL(IF(ISNUMBER(AF7:AF42),IF(AF7:AF42&gt;0,IF(AI7:AI42&lt;&gt;"",ROW(AF7:AF42)-MIN(ROW(AF7:AF42))+1))),ROW()-ROW(A$45)+1)),"|",";")," ","_")),"")</f>
        <v>0</v>
      </c>
      <c r="AK73">
        <f t="array" ref="AK73">IFERROR(CONCATENATE(INDEX(AN7:AN42,SMALL(IF(ISNUMBER(AK7:AK42),IF(AK7:AK42&gt;0,IF(AN7:AN42&lt;&gt;"",ROW(AK7:AK42)-MIN(ROW(AK7:AK42))+1))),ROW()-ROW(A$45)+1)),",",TEXT(INDEX(AK7:AK42,SMALL(IF(ISNUMBER(AK7:AK42),IF(AK7:AK42&gt;0,IF(AN7:AN42&lt;&gt;"",ROW(AK7:AK42)-MIN(ROW(AK7:AK42))+1))),ROW()-ROW(A$45)+1)),"##0"),",",SUBSTITUTE(SUBSTITUTE(INDEX(IF(PURCHASE_DESCRIPTION&lt;&gt;"",PURCHASE_DESCRIPTION&amp;":","")&amp;A7:A42,SMALL(IF(ISNUMBER(AK7:AK42),IF(AK7:AK42&gt;0,IF(AN7:AN42&lt;&gt;"",ROW(AK7:AK42)-MIN(ROW(AK7:AK42))+1))),ROW()-ROW(A$45)+1)),",",";"),"
",";"),",",SUBSTITUTE(SUBSTITUTE(INDEX(IF(PURCHASE_DESCRIPTION&lt;&gt;"",PURCHASE_DESCRIPTION&amp;":","")&amp;C7:C42,SMALL(IF(ISNUMBER(AK7:AK42),IF(AK7:AK42&gt;0,IF(AN7:AN42&lt;&gt;"",ROW(AK7:AK42)-MIN(ROW(AK7:AK42))+1))),ROW()-ROW(A$45)+1)),",",";"),"
",";"),",",SUBSTITUTE(SUBSTITUTE(INDEX(IF(PURCHASE_DESCRIPTION&lt;&gt;"",PURCHASE_DESCRIPTION&amp;":","")&amp;F7:F42,SMALL(IF(ISNUMBER(AK7:AK42),IF(AK7:AK42&gt;0,IF(AN7:AN42&lt;&gt;"",ROW(AK7:AK42)-MIN(ROW(AK7:AK42))+1))),ROW()-ROW(A$45)+1)),",",";"),"
",";"),",",SUBSTITUTE(SUBSTITUTE(INDEX(IF(PURCHASE_DESCRIPTION&lt;&gt;"",PURCHASE_DESCRIPTION&amp;":","")&amp;D7:D42,SMALL(IF(ISNUMBER(AK7:AK42),IF(AK7:AK42&gt;0,IF(AN7:AN42&lt;&gt;"",ROW(AK7:AK42)-MIN(ROW(AK7:AK42))+1))),ROW()-ROW(A$45)+1)),",",";"),"
",";")),"")</f>
        <v>0</v>
      </c>
      <c r="AP73">
        <f t="array" ref="AP73">IFERROR(CONCATENATE(INDEX(AS7:AS42,SMALL(IF(ISNUMBER(AP7:AP42),IF(AP7:AP42&gt;0,IF(AS7:AS42&lt;&gt;"",ROW(AP7:AP42)-MIN(ROW(AP7:AP42))+1))),ROW()-ROW(A$45)+1)),",",TEXT(INDEX(AP7:AP42,SMALL(IF(ISNUMBER(AP7:AP42),IF(AP7:AP42&gt;0,IF(AS7:AS42&lt;&gt;"",ROW(AP7:AP42)-MIN(ROW(AP7:AP42))+1))),ROW()-ROW(A$45)+1)),"##0"),",",,",",,",",,",",INDEX(G7:G42,SMALL(IF(ISNUMBER(AP7:AP42),IF(AP7:AP42&gt;0,IF(AS7:AS42&lt;&gt;"",ROW(AP7:AP42)-MIN(ROW(AP7:AP42))+1))),ROW()-ROW(A$45)+1)),",",SUBSTITUTE(INDEX(IF(PURCHASE_DESCRIPTION&lt;&gt;"",PURCHASE_DESCRIPTION&amp;":","")&amp;A7:A42,SMALL(IF(ISNUMBER(AP7:AP42),IF(AP7:AP42&gt;0,IF(AS7:AS42&lt;&gt;"",ROW(AP7:AP42)-MIN(ROW(AP7:AP42))+1))),ROW()-ROW(A$45)+1)),",",";")),"")</f>
        <v>0</v>
      </c>
      <c r="AU73">
        <f t="array" ref="AU73">IFERROR(CONCATENATE(INDEX(AX7:AX42,SMALL(IF(ISNUMBER(AU7:AU42),IF(AU7:AU42&gt;0,IF(AX7:AX42&lt;&gt;"",ROW(AU7:AU42)-MIN(ROW(AU7:AU42))+1))),ROW()-ROW(A$45)+1))," ",TEXT(INDEX(AU7:AU42,SMALL(IF(ISNUMBER(AU7:AU42),IF(AU7:AU42&gt;0,IF(AX7:AX42&lt;&gt;"",ROW(AU7:AU42)-MIN(ROW(AU7:AU42))+1))),ROW()-ROW(A$45)+1)),"##0")," ",SUBSTITUTE(INDEX(IF(PURCHASE_DESCRIPTION&lt;&gt;"",PURCHASE_DESCRIPTION&amp;":","")&amp;A7:A42,SMALL(IF(ISNUMBER(AU7:AU42),IF(AU7:AU42&gt;0,IF(AX7:AX42&lt;&gt;"",ROW(AU7:AU42)-MIN(ROW(AU7:AU42))+1))),ROW()-ROW(A$45)+1))," ",";")),"")</f>
        <v>0</v>
      </c>
    </row>
    <row r="74" spans="12:47">
      <c r="L74">
        <f t="array" ref="L74">IFERROR(CONCATENATE(INDEX(O7:O42,SMALL(IF(ISNUMBER(L7:L42),IF(L7:L42&gt;0,IF(O7:O42&lt;&gt;"",ROW(L7:L42)-MIN(ROW(L7:L42))+1))),ROW()-ROW(A$45)+1)),",",TEXT(INDEX(L7:L42,SMALL(IF(ISNUMBER(L7:L42),IF(L7:L42&gt;0,IF(O7:O42&lt;&gt;"",ROW(L7:L42)-MIN(ROW(L7:L42))+1))),ROW()-ROW(A$45)+1)),"##0"),",",SUBSTITUTE(INDEX(IF(PURCHASE_DESCRIPTION&lt;&gt;"",PURCHASE_DESCRIPTION&amp;":","")&amp;A7:A42,SMALL(IF(ISNUMBER(L7:L42),IF(L7:L42&gt;0,IF(O7:O42&lt;&gt;"",ROW(L7:L42)-MIN(ROW(L7:L42))+1))),ROW()-ROW(A$45)+1)),",",";")),"")</f>
        <v>0</v>
      </c>
      <c r="Q74">
        <f t="array" ref="Q74">IFERROR(CONCATENATE(TEXT(INDEX(Q7:Q42,SMALL(IF(ISNUMBER(Q7:Q42),IF(Q7:Q42&gt;0,IF(T7:T42&lt;&gt;"",ROW(Q7:Q42)-MIN(ROW(Q7:Q42))+1))),ROW()-ROW(A$45)+1)),"##0"),",",INDEX(T7:T42,SMALL(IF(ISNUMBER(Q7:Q42),IF(Q7:Q42&gt;0,IF(T7:T42&lt;&gt;"",ROW(Q7:Q42)-MIN(ROW(Q7:Q42))+1))),ROW()-ROW(A$45)+1)),",",SUBSTITUTE(INDEX(IF(PURCHASE_DESCRIPTION&lt;&gt;"",PURCHASE_DESCRIPTION&amp;":","")&amp;A7:A42,SMALL(IF(ISNUMBER(Q7:Q42),IF(Q7:Q42&gt;0,IF(T7:T42&lt;&gt;"",ROW(Q7:Q42)-MIN(ROW(Q7:Q42))+1))),ROW()-ROW(A$45)+1)),",",";")),"")</f>
        <v>0</v>
      </c>
      <c r="V74">
        <f t="array" ref="V74">IFERROR(CONCATENATE(INDEX(Y7:Y42,SMALL(IF(ISNUMBER(V7:V42),IF(V7:V42&gt;0,IF(Y7:Y42&lt;&gt;"",ROW(V7:V42)-MIN(ROW(V7:V42))+1))),ROW()-ROW(A$45)+1)),",",TEXT(INDEX(V7:V42,SMALL(IF(ISNUMBER(V7:V42),IF(V7:V42&gt;0,IF(Y7:Y42&lt;&gt;"",ROW(V7:V42)-MIN(ROW(V7:V42))+1))),ROW()-ROW(A$45)+1)),"##0"),",",SUBSTITUTE(SUBSTITUTE(INDEX(IF(PURCHASE_DESCRIPTION&lt;&gt;"",PURCHASE_DESCRIPTION&amp;":","")&amp;A7:A42,SMALL(IF(ISNUMBER(V7:V42),IF(V7:V42&gt;0,IF(Y7:Y42&lt;&gt;"",ROW(V7:V42)-MIN(ROW(V7:V42))+1))),ROW()-ROW(A$45)+1)),",",";"),"
",";"),",",SUBSTITUTE(SUBSTITUTE(INDEX(IF(PURCHASE_DESCRIPTION&lt;&gt;"",PURCHASE_DESCRIPTION&amp;":","")&amp;C7:C42,SMALL(IF(ISNUMBER(V7:V42),IF(V7:V42&gt;0,IF(Y7:Y42&lt;&gt;"",ROW(V7:V42)-MIN(ROW(V7:V42))+1))),ROW()-ROW(A$45)+1)),",",";"),"
",";"),",",SUBSTITUTE(SUBSTITUTE(INDEX(IF(PURCHASE_DESCRIPTION&lt;&gt;"",PURCHASE_DESCRIPTION&amp;":","")&amp;F7:F42,SMALL(IF(ISNUMBER(V7:V42),IF(V7:V42&gt;0,IF(Y7:Y42&lt;&gt;"",ROW(V7:V42)-MIN(ROW(V7:V42))+1))),ROW()-ROW(A$45)+1)),",",";"),"
",";"),",",SUBSTITUTE(SUBSTITUTE(INDEX(IF(PURCHASE_DESCRIPTION&lt;&gt;"",PURCHASE_DESCRIPTION&amp;":","")&amp;D7:D42,SMALL(IF(ISNUMBER(V7:V42),IF(V7:V42&gt;0,IF(Y7:Y42&lt;&gt;"",ROW(V7:V42)-MIN(ROW(V7:V42))+1))),ROW()-ROW(A$45)+1)),",",";"),"
",";")),"")</f>
        <v>0</v>
      </c>
      <c r="AA74">
        <f t="array" ref="AA74">IFERROR(CONCATENATE(TEXT(INDEX(AA7:AA42,SMALL(IF(ISNUMBER(AA7:AA42),IF(AA7:AA42&gt;0,IF(AD7:AD42&lt;&gt;"",ROW(AA7:AA42)-MIN(ROW(AA7:AA42))+1))),ROW()-ROW(A$46)+1)),"##0"),",",SUBSTITUTE(INDEX(IF(PURCHASE_DESCRIPTION&lt;&gt;"",PURCHASE_DESCRIPTION&amp;":","")&amp;A7:A42,SMALL(IF(ISNUMBER(AA7:AA42),IF(AA7:AA42&gt;0,IF(AD7:AD42&lt;&gt;"",ROW(AA7:AA42)-MIN(ROW(AA7:AA42))+1))),ROW()-ROW(A$46)+1)),",",";"),",",SUBSTITUTE(INDEX(IF(PURCHASE_DESCRIPTION&lt;&gt;"",PURCHASE_DESCRIPTION&amp;":","")&amp;E7:E42,SMALL(IF(ISNUMBER(AA7:AA42),IF(AA7:AA42&gt;0,IF(AD7:AD42&lt;&gt;"",ROW(AA7:AA42)-MIN(ROW(AA7:AA42))+1))),ROW()-ROW(A$46)+1)),",",";"),",",INDEX(AD7:AD42,SMALL(IF(ISNUMBER(AA7:AA42),IF(AA7:AA42&gt;0,IF(AD7:AD42&lt;&gt;"",ROW(AA7:AA42)-MIN(ROW(AA7:AA42))+1))),ROW()-ROW(A$46)+1))),"")</f>
        <v>0</v>
      </c>
      <c r="AF74">
        <f t="array" ref="AF74">IFERROR(CONCATENATE(INDEX(AI7:AI42,SMALL(IF(ISNUMBER(AF7:AF42),IF(AF7:AF42&gt;0,IF(AI7:AI42&lt;&gt;"",ROW(AF7:AF42)-MIN(ROW(AF7:AF42))+1))),ROW()-ROW(A$45)+1)),"|",TEXT(INDEX(AF7:AF42,SMALL(IF(ISNUMBER(AF7:AF42),IF(AF7:AF42&gt;0,IF(AI7:AI42&lt;&gt;"",ROW(AF7:AF42)-MIN(ROW(AF7:AF42))+1))),ROW()-ROW(A$45)+1)),"##0"),"|",SUBSTITUTE(SUBSTITUTE(INDEX(IF(PURCHASE_DESCRIPTION&lt;&gt;"",PURCHASE_DESCRIPTION&amp;":","")&amp;A7:A42,SMALL(IF(ISNUMBER(AF7:AF42),IF(AF7:AF42&gt;0,IF(AI7:AI42&lt;&gt;"",ROW(AF7:AF42)-MIN(ROW(AF7:AF42))+1))),ROW()-ROW(A$45)+1)),"|",";")," ","_")),"")</f>
        <v>0</v>
      </c>
      <c r="AK74">
        <f t="array" ref="AK74">IFERROR(CONCATENATE(INDEX(AN7:AN42,SMALL(IF(ISNUMBER(AK7:AK42),IF(AK7:AK42&gt;0,IF(AN7:AN42&lt;&gt;"",ROW(AK7:AK42)-MIN(ROW(AK7:AK42))+1))),ROW()-ROW(A$45)+1)),",",TEXT(INDEX(AK7:AK42,SMALL(IF(ISNUMBER(AK7:AK42),IF(AK7:AK42&gt;0,IF(AN7:AN42&lt;&gt;"",ROW(AK7:AK42)-MIN(ROW(AK7:AK42))+1))),ROW()-ROW(A$45)+1)),"##0"),",",SUBSTITUTE(SUBSTITUTE(INDEX(IF(PURCHASE_DESCRIPTION&lt;&gt;"",PURCHASE_DESCRIPTION&amp;":","")&amp;A7:A42,SMALL(IF(ISNUMBER(AK7:AK42),IF(AK7:AK42&gt;0,IF(AN7:AN42&lt;&gt;"",ROW(AK7:AK42)-MIN(ROW(AK7:AK42))+1))),ROW()-ROW(A$45)+1)),",",";"),"
",";"),",",SUBSTITUTE(SUBSTITUTE(INDEX(IF(PURCHASE_DESCRIPTION&lt;&gt;"",PURCHASE_DESCRIPTION&amp;":","")&amp;C7:C42,SMALL(IF(ISNUMBER(AK7:AK42),IF(AK7:AK42&gt;0,IF(AN7:AN42&lt;&gt;"",ROW(AK7:AK42)-MIN(ROW(AK7:AK42))+1))),ROW()-ROW(A$45)+1)),",",";"),"
",";"),",",SUBSTITUTE(SUBSTITUTE(INDEX(IF(PURCHASE_DESCRIPTION&lt;&gt;"",PURCHASE_DESCRIPTION&amp;":","")&amp;F7:F42,SMALL(IF(ISNUMBER(AK7:AK42),IF(AK7:AK42&gt;0,IF(AN7:AN42&lt;&gt;"",ROW(AK7:AK42)-MIN(ROW(AK7:AK42))+1))),ROW()-ROW(A$45)+1)),",",";"),"
",";"),",",SUBSTITUTE(SUBSTITUTE(INDEX(IF(PURCHASE_DESCRIPTION&lt;&gt;"",PURCHASE_DESCRIPTION&amp;":","")&amp;D7:D42,SMALL(IF(ISNUMBER(AK7:AK42),IF(AK7:AK42&gt;0,IF(AN7:AN42&lt;&gt;"",ROW(AK7:AK42)-MIN(ROW(AK7:AK42))+1))),ROW()-ROW(A$45)+1)),",",";"),"
",";")),"")</f>
        <v>0</v>
      </c>
      <c r="AP74">
        <f t="array" ref="AP74">IFERROR(CONCATENATE(INDEX(AS7:AS42,SMALL(IF(ISNUMBER(AP7:AP42),IF(AP7:AP42&gt;0,IF(AS7:AS42&lt;&gt;"",ROW(AP7:AP42)-MIN(ROW(AP7:AP42))+1))),ROW()-ROW(A$45)+1)),",",TEXT(INDEX(AP7:AP42,SMALL(IF(ISNUMBER(AP7:AP42),IF(AP7:AP42&gt;0,IF(AS7:AS42&lt;&gt;"",ROW(AP7:AP42)-MIN(ROW(AP7:AP42))+1))),ROW()-ROW(A$45)+1)),"##0"),",",,",",,",",,",",INDEX(G7:G42,SMALL(IF(ISNUMBER(AP7:AP42),IF(AP7:AP42&gt;0,IF(AS7:AS42&lt;&gt;"",ROW(AP7:AP42)-MIN(ROW(AP7:AP42))+1))),ROW()-ROW(A$45)+1)),",",SUBSTITUTE(INDEX(IF(PURCHASE_DESCRIPTION&lt;&gt;"",PURCHASE_DESCRIPTION&amp;":","")&amp;A7:A42,SMALL(IF(ISNUMBER(AP7:AP42),IF(AP7:AP42&gt;0,IF(AS7:AS42&lt;&gt;"",ROW(AP7:AP42)-MIN(ROW(AP7:AP42))+1))),ROW()-ROW(A$45)+1)),",",";")),"")</f>
        <v>0</v>
      </c>
      <c r="AU74">
        <f t="array" ref="AU74">IFERROR(CONCATENATE(INDEX(AX7:AX42,SMALL(IF(ISNUMBER(AU7:AU42),IF(AU7:AU42&gt;0,IF(AX7:AX42&lt;&gt;"",ROW(AU7:AU42)-MIN(ROW(AU7:AU42))+1))),ROW()-ROW(A$45)+1))," ",TEXT(INDEX(AU7:AU42,SMALL(IF(ISNUMBER(AU7:AU42),IF(AU7:AU42&gt;0,IF(AX7:AX42&lt;&gt;"",ROW(AU7:AU42)-MIN(ROW(AU7:AU42))+1))),ROW()-ROW(A$45)+1)),"##0")," ",SUBSTITUTE(INDEX(IF(PURCHASE_DESCRIPTION&lt;&gt;"",PURCHASE_DESCRIPTION&amp;":","")&amp;A7:A42,SMALL(IF(ISNUMBER(AU7:AU42),IF(AU7:AU42&gt;0,IF(AX7:AX42&lt;&gt;"",ROW(AU7:AU42)-MIN(ROW(AU7:AU42))+1))),ROW()-ROW(A$45)+1))," ",";")),"")</f>
        <v>0</v>
      </c>
    </row>
    <row r="75" spans="12:47">
      <c r="L75">
        <f t="array" ref="L75">IFERROR(CONCATENATE(INDEX(O7:O42,SMALL(IF(ISNUMBER(L7:L42),IF(L7:L42&gt;0,IF(O7:O42&lt;&gt;"",ROW(L7:L42)-MIN(ROW(L7:L42))+1))),ROW()-ROW(A$45)+1)),",",TEXT(INDEX(L7:L42,SMALL(IF(ISNUMBER(L7:L42),IF(L7:L42&gt;0,IF(O7:O42&lt;&gt;"",ROW(L7:L42)-MIN(ROW(L7:L42))+1))),ROW()-ROW(A$45)+1)),"##0"),",",SUBSTITUTE(INDEX(IF(PURCHASE_DESCRIPTION&lt;&gt;"",PURCHASE_DESCRIPTION&amp;":","")&amp;A7:A42,SMALL(IF(ISNUMBER(L7:L42),IF(L7:L42&gt;0,IF(O7:O42&lt;&gt;"",ROW(L7:L42)-MIN(ROW(L7:L42))+1))),ROW()-ROW(A$45)+1)),",",";")),"")</f>
        <v>0</v>
      </c>
      <c r="Q75">
        <f t="array" ref="Q75">IFERROR(CONCATENATE(TEXT(INDEX(Q7:Q42,SMALL(IF(ISNUMBER(Q7:Q42),IF(Q7:Q42&gt;0,IF(T7:T42&lt;&gt;"",ROW(Q7:Q42)-MIN(ROW(Q7:Q42))+1))),ROW()-ROW(A$45)+1)),"##0"),",",INDEX(T7:T42,SMALL(IF(ISNUMBER(Q7:Q42),IF(Q7:Q42&gt;0,IF(T7:T42&lt;&gt;"",ROW(Q7:Q42)-MIN(ROW(Q7:Q42))+1))),ROW()-ROW(A$45)+1)),",",SUBSTITUTE(INDEX(IF(PURCHASE_DESCRIPTION&lt;&gt;"",PURCHASE_DESCRIPTION&amp;":","")&amp;A7:A42,SMALL(IF(ISNUMBER(Q7:Q42),IF(Q7:Q42&gt;0,IF(T7:T42&lt;&gt;"",ROW(Q7:Q42)-MIN(ROW(Q7:Q42))+1))),ROW()-ROW(A$45)+1)),",",";")),"")</f>
        <v>0</v>
      </c>
      <c r="V75">
        <f t="array" ref="V75">IFERROR(CONCATENATE(INDEX(Y7:Y42,SMALL(IF(ISNUMBER(V7:V42),IF(V7:V42&gt;0,IF(Y7:Y42&lt;&gt;"",ROW(V7:V42)-MIN(ROW(V7:V42))+1))),ROW()-ROW(A$45)+1)),",",TEXT(INDEX(V7:V42,SMALL(IF(ISNUMBER(V7:V42),IF(V7:V42&gt;0,IF(Y7:Y42&lt;&gt;"",ROW(V7:V42)-MIN(ROW(V7:V42))+1))),ROW()-ROW(A$45)+1)),"##0"),",",SUBSTITUTE(SUBSTITUTE(INDEX(IF(PURCHASE_DESCRIPTION&lt;&gt;"",PURCHASE_DESCRIPTION&amp;":","")&amp;A7:A42,SMALL(IF(ISNUMBER(V7:V42),IF(V7:V42&gt;0,IF(Y7:Y42&lt;&gt;"",ROW(V7:V42)-MIN(ROW(V7:V42))+1))),ROW()-ROW(A$45)+1)),",",";"),"
",";"),",",SUBSTITUTE(SUBSTITUTE(INDEX(IF(PURCHASE_DESCRIPTION&lt;&gt;"",PURCHASE_DESCRIPTION&amp;":","")&amp;C7:C42,SMALL(IF(ISNUMBER(V7:V42),IF(V7:V42&gt;0,IF(Y7:Y42&lt;&gt;"",ROW(V7:V42)-MIN(ROW(V7:V42))+1))),ROW()-ROW(A$45)+1)),",",";"),"
",";"),",",SUBSTITUTE(SUBSTITUTE(INDEX(IF(PURCHASE_DESCRIPTION&lt;&gt;"",PURCHASE_DESCRIPTION&amp;":","")&amp;F7:F42,SMALL(IF(ISNUMBER(V7:V42),IF(V7:V42&gt;0,IF(Y7:Y42&lt;&gt;"",ROW(V7:V42)-MIN(ROW(V7:V42))+1))),ROW()-ROW(A$45)+1)),",",";"),"
",";"),",",SUBSTITUTE(SUBSTITUTE(INDEX(IF(PURCHASE_DESCRIPTION&lt;&gt;"",PURCHASE_DESCRIPTION&amp;":","")&amp;D7:D42,SMALL(IF(ISNUMBER(V7:V42),IF(V7:V42&gt;0,IF(Y7:Y42&lt;&gt;"",ROW(V7:V42)-MIN(ROW(V7:V42))+1))),ROW()-ROW(A$45)+1)),",",";"),"
",";")),"")</f>
        <v>0</v>
      </c>
      <c r="AA75">
        <f t="array" ref="AA75">IFERROR(CONCATENATE(TEXT(INDEX(AA7:AA42,SMALL(IF(ISNUMBER(AA7:AA42),IF(AA7:AA42&gt;0,IF(AD7:AD42&lt;&gt;"",ROW(AA7:AA42)-MIN(ROW(AA7:AA42))+1))),ROW()-ROW(A$46)+1)),"##0"),",",SUBSTITUTE(INDEX(IF(PURCHASE_DESCRIPTION&lt;&gt;"",PURCHASE_DESCRIPTION&amp;":","")&amp;A7:A42,SMALL(IF(ISNUMBER(AA7:AA42),IF(AA7:AA42&gt;0,IF(AD7:AD42&lt;&gt;"",ROW(AA7:AA42)-MIN(ROW(AA7:AA42))+1))),ROW()-ROW(A$46)+1)),",",";"),",",SUBSTITUTE(INDEX(IF(PURCHASE_DESCRIPTION&lt;&gt;"",PURCHASE_DESCRIPTION&amp;":","")&amp;E7:E42,SMALL(IF(ISNUMBER(AA7:AA42),IF(AA7:AA42&gt;0,IF(AD7:AD42&lt;&gt;"",ROW(AA7:AA42)-MIN(ROW(AA7:AA42))+1))),ROW()-ROW(A$46)+1)),",",";"),",",INDEX(AD7:AD42,SMALL(IF(ISNUMBER(AA7:AA42),IF(AA7:AA42&gt;0,IF(AD7:AD42&lt;&gt;"",ROW(AA7:AA42)-MIN(ROW(AA7:AA42))+1))),ROW()-ROW(A$46)+1))),"")</f>
        <v>0</v>
      </c>
      <c r="AF75">
        <f t="array" ref="AF75">IFERROR(CONCATENATE(INDEX(AI7:AI42,SMALL(IF(ISNUMBER(AF7:AF42),IF(AF7:AF42&gt;0,IF(AI7:AI42&lt;&gt;"",ROW(AF7:AF42)-MIN(ROW(AF7:AF42))+1))),ROW()-ROW(A$45)+1)),"|",TEXT(INDEX(AF7:AF42,SMALL(IF(ISNUMBER(AF7:AF42),IF(AF7:AF42&gt;0,IF(AI7:AI42&lt;&gt;"",ROW(AF7:AF42)-MIN(ROW(AF7:AF42))+1))),ROW()-ROW(A$45)+1)),"##0"),"|",SUBSTITUTE(SUBSTITUTE(INDEX(IF(PURCHASE_DESCRIPTION&lt;&gt;"",PURCHASE_DESCRIPTION&amp;":","")&amp;A7:A42,SMALL(IF(ISNUMBER(AF7:AF42),IF(AF7:AF42&gt;0,IF(AI7:AI42&lt;&gt;"",ROW(AF7:AF42)-MIN(ROW(AF7:AF42))+1))),ROW()-ROW(A$45)+1)),"|",";")," ","_")),"")</f>
        <v>0</v>
      </c>
      <c r="AK75">
        <f t="array" ref="AK75">IFERROR(CONCATENATE(INDEX(AN7:AN42,SMALL(IF(ISNUMBER(AK7:AK42),IF(AK7:AK42&gt;0,IF(AN7:AN42&lt;&gt;"",ROW(AK7:AK42)-MIN(ROW(AK7:AK42))+1))),ROW()-ROW(A$45)+1)),",",TEXT(INDEX(AK7:AK42,SMALL(IF(ISNUMBER(AK7:AK42),IF(AK7:AK42&gt;0,IF(AN7:AN42&lt;&gt;"",ROW(AK7:AK42)-MIN(ROW(AK7:AK42))+1))),ROW()-ROW(A$45)+1)),"##0"),",",SUBSTITUTE(SUBSTITUTE(INDEX(IF(PURCHASE_DESCRIPTION&lt;&gt;"",PURCHASE_DESCRIPTION&amp;":","")&amp;A7:A42,SMALL(IF(ISNUMBER(AK7:AK42),IF(AK7:AK42&gt;0,IF(AN7:AN42&lt;&gt;"",ROW(AK7:AK42)-MIN(ROW(AK7:AK42))+1))),ROW()-ROW(A$45)+1)),",",";"),"
",";"),",",SUBSTITUTE(SUBSTITUTE(INDEX(IF(PURCHASE_DESCRIPTION&lt;&gt;"",PURCHASE_DESCRIPTION&amp;":","")&amp;C7:C42,SMALL(IF(ISNUMBER(AK7:AK42),IF(AK7:AK42&gt;0,IF(AN7:AN42&lt;&gt;"",ROW(AK7:AK42)-MIN(ROW(AK7:AK42))+1))),ROW()-ROW(A$45)+1)),",",";"),"
",";"),",",SUBSTITUTE(SUBSTITUTE(INDEX(IF(PURCHASE_DESCRIPTION&lt;&gt;"",PURCHASE_DESCRIPTION&amp;":","")&amp;F7:F42,SMALL(IF(ISNUMBER(AK7:AK42),IF(AK7:AK42&gt;0,IF(AN7:AN42&lt;&gt;"",ROW(AK7:AK42)-MIN(ROW(AK7:AK42))+1))),ROW()-ROW(A$45)+1)),",",";"),"
",";"),",",SUBSTITUTE(SUBSTITUTE(INDEX(IF(PURCHASE_DESCRIPTION&lt;&gt;"",PURCHASE_DESCRIPTION&amp;":","")&amp;D7:D42,SMALL(IF(ISNUMBER(AK7:AK42),IF(AK7:AK42&gt;0,IF(AN7:AN42&lt;&gt;"",ROW(AK7:AK42)-MIN(ROW(AK7:AK42))+1))),ROW()-ROW(A$45)+1)),",",";"),"
",";")),"")</f>
        <v>0</v>
      </c>
      <c r="AP75">
        <f t="array" ref="AP75">IFERROR(CONCATENATE(INDEX(AS7:AS42,SMALL(IF(ISNUMBER(AP7:AP42),IF(AP7:AP42&gt;0,IF(AS7:AS42&lt;&gt;"",ROW(AP7:AP42)-MIN(ROW(AP7:AP42))+1))),ROW()-ROW(A$45)+1)),",",TEXT(INDEX(AP7:AP42,SMALL(IF(ISNUMBER(AP7:AP42),IF(AP7:AP42&gt;0,IF(AS7:AS42&lt;&gt;"",ROW(AP7:AP42)-MIN(ROW(AP7:AP42))+1))),ROW()-ROW(A$45)+1)),"##0"),",",,",",,",",,",",INDEX(G7:G42,SMALL(IF(ISNUMBER(AP7:AP42),IF(AP7:AP42&gt;0,IF(AS7:AS42&lt;&gt;"",ROW(AP7:AP42)-MIN(ROW(AP7:AP42))+1))),ROW()-ROW(A$45)+1)),",",SUBSTITUTE(INDEX(IF(PURCHASE_DESCRIPTION&lt;&gt;"",PURCHASE_DESCRIPTION&amp;":","")&amp;A7:A42,SMALL(IF(ISNUMBER(AP7:AP42),IF(AP7:AP42&gt;0,IF(AS7:AS42&lt;&gt;"",ROW(AP7:AP42)-MIN(ROW(AP7:AP42))+1))),ROW()-ROW(A$45)+1)),",",";")),"")</f>
        <v>0</v>
      </c>
      <c r="AU75">
        <f t="array" ref="AU75">IFERROR(CONCATENATE(INDEX(AX7:AX42,SMALL(IF(ISNUMBER(AU7:AU42),IF(AU7:AU42&gt;0,IF(AX7:AX42&lt;&gt;"",ROW(AU7:AU42)-MIN(ROW(AU7:AU42))+1))),ROW()-ROW(A$45)+1))," ",TEXT(INDEX(AU7:AU42,SMALL(IF(ISNUMBER(AU7:AU42),IF(AU7:AU42&gt;0,IF(AX7:AX42&lt;&gt;"",ROW(AU7:AU42)-MIN(ROW(AU7:AU42))+1))),ROW()-ROW(A$45)+1)),"##0")," ",SUBSTITUTE(INDEX(IF(PURCHASE_DESCRIPTION&lt;&gt;"",PURCHASE_DESCRIPTION&amp;":","")&amp;A7:A42,SMALL(IF(ISNUMBER(AU7:AU42),IF(AU7:AU42&gt;0,IF(AX7:AX42&lt;&gt;"",ROW(AU7:AU42)-MIN(ROW(AU7:AU42))+1))),ROW()-ROW(A$45)+1))," ",";")),"")</f>
        <v>0</v>
      </c>
    </row>
    <row r="76" spans="12:47">
      <c r="L76">
        <f t="array" ref="L76">IFERROR(CONCATENATE(INDEX(O7:O42,SMALL(IF(ISNUMBER(L7:L42),IF(L7:L42&gt;0,IF(O7:O42&lt;&gt;"",ROW(L7:L42)-MIN(ROW(L7:L42))+1))),ROW()-ROW(A$45)+1)),",",TEXT(INDEX(L7:L42,SMALL(IF(ISNUMBER(L7:L42),IF(L7:L42&gt;0,IF(O7:O42&lt;&gt;"",ROW(L7:L42)-MIN(ROW(L7:L42))+1))),ROW()-ROW(A$45)+1)),"##0"),",",SUBSTITUTE(INDEX(IF(PURCHASE_DESCRIPTION&lt;&gt;"",PURCHASE_DESCRIPTION&amp;":","")&amp;A7:A42,SMALL(IF(ISNUMBER(L7:L42),IF(L7:L42&gt;0,IF(O7:O42&lt;&gt;"",ROW(L7:L42)-MIN(ROW(L7:L42))+1))),ROW()-ROW(A$45)+1)),",",";")),"")</f>
        <v>0</v>
      </c>
      <c r="Q76">
        <f t="array" ref="Q76">IFERROR(CONCATENATE(TEXT(INDEX(Q7:Q42,SMALL(IF(ISNUMBER(Q7:Q42),IF(Q7:Q42&gt;0,IF(T7:T42&lt;&gt;"",ROW(Q7:Q42)-MIN(ROW(Q7:Q42))+1))),ROW()-ROW(A$45)+1)),"##0"),",",INDEX(T7:T42,SMALL(IF(ISNUMBER(Q7:Q42),IF(Q7:Q42&gt;0,IF(T7:T42&lt;&gt;"",ROW(Q7:Q42)-MIN(ROW(Q7:Q42))+1))),ROW()-ROW(A$45)+1)),",",SUBSTITUTE(INDEX(IF(PURCHASE_DESCRIPTION&lt;&gt;"",PURCHASE_DESCRIPTION&amp;":","")&amp;A7:A42,SMALL(IF(ISNUMBER(Q7:Q42),IF(Q7:Q42&gt;0,IF(T7:T42&lt;&gt;"",ROW(Q7:Q42)-MIN(ROW(Q7:Q42))+1))),ROW()-ROW(A$45)+1)),",",";")),"")</f>
        <v>0</v>
      </c>
      <c r="V76">
        <f t="array" ref="V76">IFERROR(CONCATENATE(INDEX(Y7:Y42,SMALL(IF(ISNUMBER(V7:V42),IF(V7:V42&gt;0,IF(Y7:Y42&lt;&gt;"",ROW(V7:V42)-MIN(ROW(V7:V42))+1))),ROW()-ROW(A$45)+1)),",",TEXT(INDEX(V7:V42,SMALL(IF(ISNUMBER(V7:V42),IF(V7:V42&gt;0,IF(Y7:Y42&lt;&gt;"",ROW(V7:V42)-MIN(ROW(V7:V42))+1))),ROW()-ROW(A$45)+1)),"##0"),",",SUBSTITUTE(SUBSTITUTE(INDEX(IF(PURCHASE_DESCRIPTION&lt;&gt;"",PURCHASE_DESCRIPTION&amp;":","")&amp;A7:A42,SMALL(IF(ISNUMBER(V7:V42),IF(V7:V42&gt;0,IF(Y7:Y42&lt;&gt;"",ROW(V7:V42)-MIN(ROW(V7:V42))+1))),ROW()-ROW(A$45)+1)),",",";"),"
",";"),",",SUBSTITUTE(SUBSTITUTE(INDEX(IF(PURCHASE_DESCRIPTION&lt;&gt;"",PURCHASE_DESCRIPTION&amp;":","")&amp;C7:C42,SMALL(IF(ISNUMBER(V7:V42),IF(V7:V42&gt;0,IF(Y7:Y42&lt;&gt;"",ROW(V7:V42)-MIN(ROW(V7:V42))+1))),ROW()-ROW(A$45)+1)),",",";"),"
",";"),",",SUBSTITUTE(SUBSTITUTE(INDEX(IF(PURCHASE_DESCRIPTION&lt;&gt;"",PURCHASE_DESCRIPTION&amp;":","")&amp;F7:F42,SMALL(IF(ISNUMBER(V7:V42),IF(V7:V42&gt;0,IF(Y7:Y42&lt;&gt;"",ROW(V7:V42)-MIN(ROW(V7:V42))+1))),ROW()-ROW(A$45)+1)),",",";"),"
",";"),",",SUBSTITUTE(SUBSTITUTE(INDEX(IF(PURCHASE_DESCRIPTION&lt;&gt;"",PURCHASE_DESCRIPTION&amp;":","")&amp;D7:D42,SMALL(IF(ISNUMBER(V7:V42),IF(V7:V42&gt;0,IF(Y7:Y42&lt;&gt;"",ROW(V7:V42)-MIN(ROW(V7:V42))+1))),ROW()-ROW(A$45)+1)),",",";"),"
",";")),"")</f>
        <v>0</v>
      </c>
      <c r="AA76">
        <f t="array" ref="AA76">IFERROR(CONCATENATE(TEXT(INDEX(AA7:AA42,SMALL(IF(ISNUMBER(AA7:AA42),IF(AA7:AA42&gt;0,IF(AD7:AD42&lt;&gt;"",ROW(AA7:AA42)-MIN(ROW(AA7:AA42))+1))),ROW()-ROW(A$46)+1)),"##0"),",",SUBSTITUTE(INDEX(IF(PURCHASE_DESCRIPTION&lt;&gt;"",PURCHASE_DESCRIPTION&amp;":","")&amp;A7:A42,SMALL(IF(ISNUMBER(AA7:AA42),IF(AA7:AA42&gt;0,IF(AD7:AD42&lt;&gt;"",ROW(AA7:AA42)-MIN(ROW(AA7:AA42))+1))),ROW()-ROW(A$46)+1)),",",";"),",",SUBSTITUTE(INDEX(IF(PURCHASE_DESCRIPTION&lt;&gt;"",PURCHASE_DESCRIPTION&amp;":","")&amp;E7:E42,SMALL(IF(ISNUMBER(AA7:AA42),IF(AA7:AA42&gt;0,IF(AD7:AD42&lt;&gt;"",ROW(AA7:AA42)-MIN(ROW(AA7:AA42))+1))),ROW()-ROW(A$46)+1)),",",";"),",",INDEX(AD7:AD42,SMALL(IF(ISNUMBER(AA7:AA42),IF(AA7:AA42&gt;0,IF(AD7:AD42&lt;&gt;"",ROW(AA7:AA42)-MIN(ROW(AA7:AA42))+1))),ROW()-ROW(A$46)+1))),"")</f>
        <v>0</v>
      </c>
      <c r="AF76">
        <f t="array" ref="AF76">IFERROR(CONCATENATE(INDEX(AI7:AI42,SMALL(IF(ISNUMBER(AF7:AF42),IF(AF7:AF42&gt;0,IF(AI7:AI42&lt;&gt;"",ROW(AF7:AF42)-MIN(ROW(AF7:AF42))+1))),ROW()-ROW(A$45)+1)),"|",TEXT(INDEX(AF7:AF42,SMALL(IF(ISNUMBER(AF7:AF42),IF(AF7:AF42&gt;0,IF(AI7:AI42&lt;&gt;"",ROW(AF7:AF42)-MIN(ROW(AF7:AF42))+1))),ROW()-ROW(A$45)+1)),"##0"),"|",SUBSTITUTE(SUBSTITUTE(INDEX(IF(PURCHASE_DESCRIPTION&lt;&gt;"",PURCHASE_DESCRIPTION&amp;":","")&amp;A7:A42,SMALL(IF(ISNUMBER(AF7:AF42),IF(AF7:AF42&gt;0,IF(AI7:AI42&lt;&gt;"",ROW(AF7:AF42)-MIN(ROW(AF7:AF42))+1))),ROW()-ROW(A$45)+1)),"|",";")," ","_")),"")</f>
        <v>0</v>
      </c>
      <c r="AK76">
        <f t="array" ref="AK76">IFERROR(CONCATENATE(INDEX(AN7:AN42,SMALL(IF(ISNUMBER(AK7:AK42),IF(AK7:AK42&gt;0,IF(AN7:AN42&lt;&gt;"",ROW(AK7:AK42)-MIN(ROW(AK7:AK42))+1))),ROW()-ROW(A$45)+1)),",",TEXT(INDEX(AK7:AK42,SMALL(IF(ISNUMBER(AK7:AK42),IF(AK7:AK42&gt;0,IF(AN7:AN42&lt;&gt;"",ROW(AK7:AK42)-MIN(ROW(AK7:AK42))+1))),ROW()-ROW(A$45)+1)),"##0"),",",SUBSTITUTE(SUBSTITUTE(INDEX(IF(PURCHASE_DESCRIPTION&lt;&gt;"",PURCHASE_DESCRIPTION&amp;":","")&amp;A7:A42,SMALL(IF(ISNUMBER(AK7:AK42),IF(AK7:AK42&gt;0,IF(AN7:AN42&lt;&gt;"",ROW(AK7:AK42)-MIN(ROW(AK7:AK42))+1))),ROW()-ROW(A$45)+1)),",",";"),"
",";"),",",SUBSTITUTE(SUBSTITUTE(INDEX(IF(PURCHASE_DESCRIPTION&lt;&gt;"",PURCHASE_DESCRIPTION&amp;":","")&amp;C7:C42,SMALL(IF(ISNUMBER(AK7:AK42),IF(AK7:AK42&gt;0,IF(AN7:AN42&lt;&gt;"",ROW(AK7:AK42)-MIN(ROW(AK7:AK42))+1))),ROW()-ROW(A$45)+1)),",",";"),"
",";"),",",SUBSTITUTE(SUBSTITUTE(INDEX(IF(PURCHASE_DESCRIPTION&lt;&gt;"",PURCHASE_DESCRIPTION&amp;":","")&amp;F7:F42,SMALL(IF(ISNUMBER(AK7:AK42),IF(AK7:AK42&gt;0,IF(AN7:AN42&lt;&gt;"",ROW(AK7:AK42)-MIN(ROW(AK7:AK42))+1))),ROW()-ROW(A$45)+1)),",",";"),"
",";"),",",SUBSTITUTE(SUBSTITUTE(INDEX(IF(PURCHASE_DESCRIPTION&lt;&gt;"",PURCHASE_DESCRIPTION&amp;":","")&amp;D7:D42,SMALL(IF(ISNUMBER(AK7:AK42),IF(AK7:AK42&gt;0,IF(AN7:AN42&lt;&gt;"",ROW(AK7:AK42)-MIN(ROW(AK7:AK42))+1))),ROW()-ROW(A$45)+1)),",",";"),"
",";")),"")</f>
        <v>0</v>
      </c>
      <c r="AP76">
        <f t="array" ref="AP76">IFERROR(CONCATENATE(INDEX(AS7:AS42,SMALL(IF(ISNUMBER(AP7:AP42),IF(AP7:AP42&gt;0,IF(AS7:AS42&lt;&gt;"",ROW(AP7:AP42)-MIN(ROW(AP7:AP42))+1))),ROW()-ROW(A$45)+1)),",",TEXT(INDEX(AP7:AP42,SMALL(IF(ISNUMBER(AP7:AP42),IF(AP7:AP42&gt;0,IF(AS7:AS42&lt;&gt;"",ROW(AP7:AP42)-MIN(ROW(AP7:AP42))+1))),ROW()-ROW(A$45)+1)),"##0"),",",,",",,",",,",",INDEX(G7:G42,SMALL(IF(ISNUMBER(AP7:AP42),IF(AP7:AP42&gt;0,IF(AS7:AS42&lt;&gt;"",ROW(AP7:AP42)-MIN(ROW(AP7:AP42))+1))),ROW()-ROW(A$45)+1)),",",SUBSTITUTE(INDEX(IF(PURCHASE_DESCRIPTION&lt;&gt;"",PURCHASE_DESCRIPTION&amp;":","")&amp;A7:A42,SMALL(IF(ISNUMBER(AP7:AP42),IF(AP7:AP42&gt;0,IF(AS7:AS42&lt;&gt;"",ROW(AP7:AP42)-MIN(ROW(AP7:AP42))+1))),ROW()-ROW(A$45)+1)),",",";")),"")</f>
        <v>0</v>
      </c>
      <c r="AU76">
        <f t="array" ref="AU76">IFERROR(CONCATENATE(INDEX(AX7:AX42,SMALL(IF(ISNUMBER(AU7:AU42),IF(AU7:AU42&gt;0,IF(AX7:AX42&lt;&gt;"",ROW(AU7:AU42)-MIN(ROW(AU7:AU42))+1))),ROW()-ROW(A$45)+1))," ",TEXT(INDEX(AU7:AU42,SMALL(IF(ISNUMBER(AU7:AU42),IF(AU7:AU42&gt;0,IF(AX7:AX42&lt;&gt;"",ROW(AU7:AU42)-MIN(ROW(AU7:AU42))+1))),ROW()-ROW(A$45)+1)),"##0")," ",SUBSTITUTE(INDEX(IF(PURCHASE_DESCRIPTION&lt;&gt;"",PURCHASE_DESCRIPTION&amp;":","")&amp;A7:A42,SMALL(IF(ISNUMBER(AU7:AU42),IF(AU7:AU42&gt;0,IF(AX7:AX42&lt;&gt;"",ROW(AU7:AU42)-MIN(ROW(AU7:AU42))+1))),ROW()-ROW(A$45)+1))," ",";")),"")</f>
        <v>0</v>
      </c>
    </row>
    <row r="77" spans="12:47">
      <c r="L77">
        <f t="array" ref="L77">IFERROR(CONCATENATE(INDEX(O7:O42,SMALL(IF(ISNUMBER(L7:L42),IF(L7:L42&gt;0,IF(O7:O42&lt;&gt;"",ROW(L7:L42)-MIN(ROW(L7:L42))+1))),ROW()-ROW(A$45)+1)),",",TEXT(INDEX(L7:L42,SMALL(IF(ISNUMBER(L7:L42),IF(L7:L42&gt;0,IF(O7:O42&lt;&gt;"",ROW(L7:L42)-MIN(ROW(L7:L42))+1))),ROW()-ROW(A$45)+1)),"##0"),",",SUBSTITUTE(INDEX(IF(PURCHASE_DESCRIPTION&lt;&gt;"",PURCHASE_DESCRIPTION&amp;":","")&amp;A7:A42,SMALL(IF(ISNUMBER(L7:L42),IF(L7:L42&gt;0,IF(O7:O42&lt;&gt;"",ROW(L7:L42)-MIN(ROW(L7:L42))+1))),ROW()-ROW(A$45)+1)),",",";")),"")</f>
        <v>0</v>
      </c>
      <c r="Q77">
        <f t="array" ref="Q77">IFERROR(CONCATENATE(TEXT(INDEX(Q7:Q42,SMALL(IF(ISNUMBER(Q7:Q42),IF(Q7:Q42&gt;0,IF(T7:T42&lt;&gt;"",ROW(Q7:Q42)-MIN(ROW(Q7:Q42))+1))),ROW()-ROW(A$45)+1)),"##0"),",",INDEX(T7:T42,SMALL(IF(ISNUMBER(Q7:Q42),IF(Q7:Q42&gt;0,IF(T7:T42&lt;&gt;"",ROW(Q7:Q42)-MIN(ROW(Q7:Q42))+1))),ROW()-ROW(A$45)+1)),",",SUBSTITUTE(INDEX(IF(PURCHASE_DESCRIPTION&lt;&gt;"",PURCHASE_DESCRIPTION&amp;":","")&amp;A7:A42,SMALL(IF(ISNUMBER(Q7:Q42),IF(Q7:Q42&gt;0,IF(T7:T42&lt;&gt;"",ROW(Q7:Q42)-MIN(ROW(Q7:Q42))+1))),ROW()-ROW(A$45)+1)),",",";")),"")</f>
        <v>0</v>
      </c>
      <c r="V77">
        <f t="array" ref="V77">IFERROR(CONCATENATE(INDEX(Y7:Y42,SMALL(IF(ISNUMBER(V7:V42),IF(V7:V42&gt;0,IF(Y7:Y42&lt;&gt;"",ROW(V7:V42)-MIN(ROW(V7:V42))+1))),ROW()-ROW(A$45)+1)),",",TEXT(INDEX(V7:V42,SMALL(IF(ISNUMBER(V7:V42),IF(V7:V42&gt;0,IF(Y7:Y42&lt;&gt;"",ROW(V7:V42)-MIN(ROW(V7:V42))+1))),ROW()-ROW(A$45)+1)),"##0"),",",SUBSTITUTE(SUBSTITUTE(INDEX(IF(PURCHASE_DESCRIPTION&lt;&gt;"",PURCHASE_DESCRIPTION&amp;":","")&amp;A7:A42,SMALL(IF(ISNUMBER(V7:V42),IF(V7:V42&gt;0,IF(Y7:Y42&lt;&gt;"",ROW(V7:V42)-MIN(ROW(V7:V42))+1))),ROW()-ROW(A$45)+1)),",",";"),"
",";"),",",SUBSTITUTE(SUBSTITUTE(INDEX(IF(PURCHASE_DESCRIPTION&lt;&gt;"",PURCHASE_DESCRIPTION&amp;":","")&amp;C7:C42,SMALL(IF(ISNUMBER(V7:V42),IF(V7:V42&gt;0,IF(Y7:Y42&lt;&gt;"",ROW(V7:V42)-MIN(ROW(V7:V42))+1))),ROW()-ROW(A$45)+1)),",",";"),"
",";"),",",SUBSTITUTE(SUBSTITUTE(INDEX(IF(PURCHASE_DESCRIPTION&lt;&gt;"",PURCHASE_DESCRIPTION&amp;":","")&amp;F7:F42,SMALL(IF(ISNUMBER(V7:V42),IF(V7:V42&gt;0,IF(Y7:Y42&lt;&gt;"",ROW(V7:V42)-MIN(ROW(V7:V42))+1))),ROW()-ROW(A$45)+1)),",",";"),"
",";"),",",SUBSTITUTE(SUBSTITUTE(INDEX(IF(PURCHASE_DESCRIPTION&lt;&gt;"",PURCHASE_DESCRIPTION&amp;":","")&amp;D7:D42,SMALL(IF(ISNUMBER(V7:V42),IF(V7:V42&gt;0,IF(Y7:Y42&lt;&gt;"",ROW(V7:V42)-MIN(ROW(V7:V42))+1))),ROW()-ROW(A$45)+1)),",",";"),"
",";")),"")</f>
        <v>0</v>
      </c>
      <c r="AA77">
        <f t="array" ref="AA77">IFERROR(CONCATENATE(TEXT(INDEX(AA7:AA42,SMALL(IF(ISNUMBER(AA7:AA42),IF(AA7:AA42&gt;0,IF(AD7:AD42&lt;&gt;"",ROW(AA7:AA42)-MIN(ROW(AA7:AA42))+1))),ROW()-ROW(A$46)+1)),"##0"),",",SUBSTITUTE(INDEX(IF(PURCHASE_DESCRIPTION&lt;&gt;"",PURCHASE_DESCRIPTION&amp;":","")&amp;A7:A42,SMALL(IF(ISNUMBER(AA7:AA42),IF(AA7:AA42&gt;0,IF(AD7:AD42&lt;&gt;"",ROW(AA7:AA42)-MIN(ROW(AA7:AA42))+1))),ROW()-ROW(A$46)+1)),",",";"),",",SUBSTITUTE(INDEX(IF(PURCHASE_DESCRIPTION&lt;&gt;"",PURCHASE_DESCRIPTION&amp;":","")&amp;E7:E42,SMALL(IF(ISNUMBER(AA7:AA42),IF(AA7:AA42&gt;0,IF(AD7:AD42&lt;&gt;"",ROW(AA7:AA42)-MIN(ROW(AA7:AA42))+1))),ROW()-ROW(A$46)+1)),",",";"),",",INDEX(AD7:AD42,SMALL(IF(ISNUMBER(AA7:AA42),IF(AA7:AA42&gt;0,IF(AD7:AD42&lt;&gt;"",ROW(AA7:AA42)-MIN(ROW(AA7:AA42))+1))),ROW()-ROW(A$46)+1))),"")</f>
        <v>0</v>
      </c>
      <c r="AF77">
        <f t="array" ref="AF77">IFERROR(CONCATENATE(INDEX(AI7:AI42,SMALL(IF(ISNUMBER(AF7:AF42),IF(AF7:AF42&gt;0,IF(AI7:AI42&lt;&gt;"",ROW(AF7:AF42)-MIN(ROW(AF7:AF42))+1))),ROW()-ROW(A$45)+1)),"|",TEXT(INDEX(AF7:AF42,SMALL(IF(ISNUMBER(AF7:AF42),IF(AF7:AF42&gt;0,IF(AI7:AI42&lt;&gt;"",ROW(AF7:AF42)-MIN(ROW(AF7:AF42))+1))),ROW()-ROW(A$45)+1)),"##0"),"|",SUBSTITUTE(SUBSTITUTE(INDEX(IF(PURCHASE_DESCRIPTION&lt;&gt;"",PURCHASE_DESCRIPTION&amp;":","")&amp;A7:A42,SMALL(IF(ISNUMBER(AF7:AF42),IF(AF7:AF42&gt;0,IF(AI7:AI42&lt;&gt;"",ROW(AF7:AF42)-MIN(ROW(AF7:AF42))+1))),ROW()-ROW(A$45)+1)),"|",";")," ","_")),"")</f>
        <v>0</v>
      </c>
      <c r="AK77">
        <f t="array" ref="AK77">IFERROR(CONCATENATE(INDEX(AN7:AN42,SMALL(IF(ISNUMBER(AK7:AK42),IF(AK7:AK42&gt;0,IF(AN7:AN42&lt;&gt;"",ROW(AK7:AK42)-MIN(ROW(AK7:AK42))+1))),ROW()-ROW(A$45)+1)),",",TEXT(INDEX(AK7:AK42,SMALL(IF(ISNUMBER(AK7:AK42),IF(AK7:AK42&gt;0,IF(AN7:AN42&lt;&gt;"",ROW(AK7:AK42)-MIN(ROW(AK7:AK42))+1))),ROW()-ROW(A$45)+1)),"##0"),",",SUBSTITUTE(SUBSTITUTE(INDEX(IF(PURCHASE_DESCRIPTION&lt;&gt;"",PURCHASE_DESCRIPTION&amp;":","")&amp;A7:A42,SMALL(IF(ISNUMBER(AK7:AK42),IF(AK7:AK42&gt;0,IF(AN7:AN42&lt;&gt;"",ROW(AK7:AK42)-MIN(ROW(AK7:AK42))+1))),ROW()-ROW(A$45)+1)),",",";"),"
",";"),",",SUBSTITUTE(SUBSTITUTE(INDEX(IF(PURCHASE_DESCRIPTION&lt;&gt;"",PURCHASE_DESCRIPTION&amp;":","")&amp;C7:C42,SMALL(IF(ISNUMBER(AK7:AK42),IF(AK7:AK42&gt;0,IF(AN7:AN42&lt;&gt;"",ROW(AK7:AK42)-MIN(ROW(AK7:AK42))+1))),ROW()-ROW(A$45)+1)),",",";"),"
",";"),",",SUBSTITUTE(SUBSTITUTE(INDEX(IF(PURCHASE_DESCRIPTION&lt;&gt;"",PURCHASE_DESCRIPTION&amp;":","")&amp;F7:F42,SMALL(IF(ISNUMBER(AK7:AK42),IF(AK7:AK42&gt;0,IF(AN7:AN42&lt;&gt;"",ROW(AK7:AK42)-MIN(ROW(AK7:AK42))+1))),ROW()-ROW(A$45)+1)),",",";"),"
",";"),",",SUBSTITUTE(SUBSTITUTE(INDEX(IF(PURCHASE_DESCRIPTION&lt;&gt;"",PURCHASE_DESCRIPTION&amp;":","")&amp;D7:D42,SMALL(IF(ISNUMBER(AK7:AK42),IF(AK7:AK42&gt;0,IF(AN7:AN42&lt;&gt;"",ROW(AK7:AK42)-MIN(ROW(AK7:AK42))+1))),ROW()-ROW(A$45)+1)),",",";"),"
",";")),"")</f>
        <v>0</v>
      </c>
      <c r="AP77">
        <f t="array" ref="AP77">IFERROR(CONCATENATE(INDEX(AS7:AS42,SMALL(IF(ISNUMBER(AP7:AP42),IF(AP7:AP42&gt;0,IF(AS7:AS42&lt;&gt;"",ROW(AP7:AP42)-MIN(ROW(AP7:AP42))+1))),ROW()-ROW(A$45)+1)),",",TEXT(INDEX(AP7:AP42,SMALL(IF(ISNUMBER(AP7:AP42),IF(AP7:AP42&gt;0,IF(AS7:AS42&lt;&gt;"",ROW(AP7:AP42)-MIN(ROW(AP7:AP42))+1))),ROW()-ROW(A$45)+1)),"##0"),",",,",",,",",,",",INDEX(G7:G42,SMALL(IF(ISNUMBER(AP7:AP42),IF(AP7:AP42&gt;0,IF(AS7:AS42&lt;&gt;"",ROW(AP7:AP42)-MIN(ROW(AP7:AP42))+1))),ROW()-ROW(A$45)+1)),",",SUBSTITUTE(INDEX(IF(PURCHASE_DESCRIPTION&lt;&gt;"",PURCHASE_DESCRIPTION&amp;":","")&amp;A7:A42,SMALL(IF(ISNUMBER(AP7:AP42),IF(AP7:AP42&gt;0,IF(AS7:AS42&lt;&gt;"",ROW(AP7:AP42)-MIN(ROW(AP7:AP42))+1))),ROW()-ROW(A$45)+1)),",",";")),"")</f>
        <v>0</v>
      </c>
      <c r="AU77">
        <f t="array" ref="AU77">IFERROR(CONCATENATE(INDEX(AX7:AX42,SMALL(IF(ISNUMBER(AU7:AU42),IF(AU7:AU42&gt;0,IF(AX7:AX42&lt;&gt;"",ROW(AU7:AU42)-MIN(ROW(AU7:AU42))+1))),ROW()-ROW(A$45)+1))," ",TEXT(INDEX(AU7:AU42,SMALL(IF(ISNUMBER(AU7:AU42),IF(AU7:AU42&gt;0,IF(AX7:AX42&lt;&gt;"",ROW(AU7:AU42)-MIN(ROW(AU7:AU42))+1))),ROW()-ROW(A$45)+1)),"##0")," ",SUBSTITUTE(INDEX(IF(PURCHASE_DESCRIPTION&lt;&gt;"",PURCHASE_DESCRIPTION&amp;":","")&amp;A7:A42,SMALL(IF(ISNUMBER(AU7:AU42),IF(AU7:AU42&gt;0,IF(AX7:AX42&lt;&gt;"",ROW(AU7:AU42)-MIN(ROW(AU7:AU42))+1))),ROW()-ROW(A$45)+1))," ",";")),"")</f>
        <v>0</v>
      </c>
    </row>
    <row r="78" spans="12:47">
      <c r="L78">
        <f t="array" ref="L78">IFERROR(CONCATENATE(INDEX(O7:O42,SMALL(IF(ISNUMBER(L7:L42),IF(L7:L42&gt;0,IF(O7:O42&lt;&gt;"",ROW(L7:L42)-MIN(ROW(L7:L42))+1))),ROW()-ROW(A$45)+1)),",",TEXT(INDEX(L7:L42,SMALL(IF(ISNUMBER(L7:L42),IF(L7:L42&gt;0,IF(O7:O42&lt;&gt;"",ROW(L7:L42)-MIN(ROW(L7:L42))+1))),ROW()-ROW(A$45)+1)),"##0"),",",SUBSTITUTE(INDEX(IF(PURCHASE_DESCRIPTION&lt;&gt;"",PURCHASE_DESCRIPTION&amp;":","")&amp;A7:A42,SMALL(IF(ISNUMBER(L7:L42),IF(L7:L42&gt;0,IF(O7:O42&lt;&gt;"",ROW(L7:L42)-MIN(ROW(L7:L42))+1))),ROW()-ROW(A$45)+1)),",",";")),"")</f>
        <v>0</v>
      </c>
      <c r="Q78">
        <f t="array" ref="Q78">IFERROR(CONCATENATE(TEXT(INDEX(Q7:Q42,SMALL(IF(ISNUMBER(Q7:Q42),IF(Q7:Q42&gt;0,IF(T7:T42&lt;&gt;"",ROW(Q7:Q42)-MIN(ROW(Q7:Q42))+1))),ROW()-ROW(A$45)+1)),"##0"),",",INDEX(T7:T42,SMALL(IF(ISNUMBER(Q7:Q42),IF(Q7:Q42&gt;0,IF(T7:T42&lt;&gt;"",ROW(Q7:Q42)-MIN(ROW(Q7:Q42))+1))),ROW()-ROW(A$45)+1)),",",SUBSTITUTE(INDEX(IF(PURCHASE_DESCRIPTION&lt;&gt;"",PURCHASE_DESCRIPTION&amp;":","")&amp;A7:A42,SMALL(IF(ISNUMBER(Q7:Q42),IF(Q7:Q42&gt;0,IF(T7:T42&lt;&gt;"",ROW(Q7:Q42)-MIN(ROW(Q7:Q42))+1))),ROW()-ROW(A$45)+1)),",",";")),"")</f>
        <v>0</v>
      </c>
      <c r="V78">
        <f t="array" ref="V78">IFERROR(CONCATENATE(INDEX(Y7:Y42,SMALL(IF(ISNUMBER(V7:V42),IF(V7:V42&gt;0,IF(Y7:Y42&lt;&gt;"",ROW(V7:V42)-MIN(ROW(V7:V42))+1))),ROW()-ROW(A$45)+1)),",",TEXT(INDEX(V7:V42,SMALL(IF(ISNUMBER(V7:V42),IF(V7:V42&gt;0,IF(Y7:Y42&lt;&gt;"",ROW(V7:V42)-MIN(ROW(V7:V42))+1))),ROW()-ROW(A$45)+1)),"##0"),",",SUBSTITUTE(SUBSTITUTE(INDEX(IF(PURCHASE_DESCRIPTION&lt;&gt;"",PURCHASE_DESCRIPTION&amp;":","")&amp;A7:A42,SMALL(IF(ISNUMBER(V7:V42),IF(V7:V42&gt;0,IF(Y7:Y42&lt;&gt;"",ROW(V7:V42)-MIN(ROW(V7:V42))+1))),ROW()-ROW(A$45)+1)),",",";"),"
",";"),",",SUBSTITUTE(SUBSTITUTE(INDEX(IF(PURCHASE_DESCRIPTION&lt;&gt;"",PURCHASE_DESCRIPTION&amp;":","")&amp;C7:C42,SMALL(IF(ISNUMBER(V7:V42),IF(V7:V42&gt;0,IF(Y7:Y42&lt;&gt;"",ROW(V7:V42)-MIN(ROW(V7:V42))+1))),ROW()-ROW(A$45)+1)),",",";"),"
",";"),",",SUBSTITUTE(SUBSTITUTE(INDEX(IF(PURCHASE_DESCRIPTION&lt;&gt;"",PURCHASE_DESCRIPTION&amp;":","")&amp;F7:F42,SMALL(IF(ISNUMBER(V7:V42),IF(V7:V42&gt;0,IF(Y7:Y42&lt;&gt;"",ROW(V7:V42)-MIN(ROW(V7:V42))+1))),ROW()-ROW(A$45)+1)),",",";"),"
",";"),",",SUBSTITUTE(SUBSTITUTE(INDEX(IF(PURCHASE_DESCRIPTION&lt;&gt;"",PURCHASE_DESCRIPTION&amp;":","")&amp;D7:D42,SMALL(IF(ISNUMBER(V7:V42),IF(V7:V42&gt;0,IF(Y7:Y42&lt;&gt;"",ROW(V7:V42)-MIN(ROW(V7:V42))+1))),ROW()-ROW(A$45)+1)),",",";"),"
",";")),"")</f>
        <v>0</v>
      </c>
      <c r="AA78">
        <f t="array" ref="AA78">IFERROR(CONCATENATE(TEXT(INDEX(AA7:AA42,SMALL(IF(ISNUMBER(AA7:AA42),IF(AA7:AA42&gt;0,IF(AD7:AD42&lt;&gt;"",ROW(AA7:AA42)-MIN(ROW(AA7:AA42))+1))),ROW()-ROW(A$46)+1)),"##0"),",",SUBSTITUTE(INDEX(IF(PURCHASE_DESCRIPTION&lt;&gt;"",PURCHASE_DESCRIPTION&amp;":","")&amp;A7:A42,SMALL(IF(ISNUMBER(AA7:AA42),IF(AA7:AA42&gt;0,IF(AD7:AD42&lt;&gt;"",ROW(AA7:AA42)-MIN(ROW(AA7:AA42))+1))),ROW()-ROW(A$46)+1)),",",";"),",",SUBSTITUTE(INDEX(IF(PURCHASE_DESCRIPTION&lt;&gt;"",PURCHASE_DESCRIPTION&amp;":","")&amp;E7:E42,SMALL(IF(ISNUMBER(AA7:AA42),IF(AA7:AA42&gt;0,IF(AD7:AD42&lt;&gt;"",ROW(AA7:AA42)-MIN(ROW(AA7:AA42))+1))),ROW()-ROW(A$46)+1)),",",";"),",",INDEX(AD7:AD42,SMALL(IF(ISNUMBER(AA7:AA42),IF(AA7:AA42&gt;0,IF(AD7:AD42&lt;&gt;"",ROW(AA7:AA42)-MIN(ROW(AA7:AA42))+1))),ROW()-ROW(A$46)+1))),"")</f>
        <v>0</v>
      </c>
      <c r="AF78">
        <f t="array" ref="AF78">IFERROR(CONCATENATE(INDEX(AI7:AI42,SMALL(IF(ISNUMBER(AF7:AF42),IF(AF7:AF42&gt;0,IF(AI7:AI42&lt;&gt;"",ROW(AF7:AF42)-MIN(ROW(AF7:AF42))+1))),ROW()-ROW(A$45)+1)),"|",TEXT(INDEX(AF7:AF42,SMALL(IF(ISNUMBER(AF7:AF42),IF(AF7:AF42&gt;0,IF(AI7:AI42&lt;&gt;"",ROW(AF7:AF42)-MIN(ROW(AF7:AF42))+1))),ROW()-ROW(A$45)+1)),"##0"),"|",SUBSTITUTE(SUBSTITUTE(INDEX(IF(PURCHASE_DESCRIPTION&lt;&gt;"",PURCHASE_DESCRIPTION&amp;":","")&amp;A7:A42,SMALL(IF(ISNUMBER(AF7:AF42),IF(AF7:AF42&gt;0,IF(AI7:AI42&lt;&gt;"",ROW(AF7:AF42)-MIN(ROW(AF7:AF42))+1))),ROW()-ROW(A$45)+1)),"|",";")," ","_")),"")</f>
        <v>0</v>
      </c>
      <c r="AK78">
        <f t="array" ref="AK78">IFERROR(CONCATENATE(INDEX(AN7:AN42,SMALL(IF(ISNUMBER(AK7:AK42),IF(AK7:AK42&gt;0,IF(AN7:AN42&lt;&gt;"",ROW(AK7:AK42)-MIN(ROW(AK7:AK42))+1))),ROW()-ROW(A$45)+1)),",",TEXT(INDEX(AK7:AK42,SMALL(IF(ISNUMBER(AK7:AK42),IF(AK7:AK42&gt;0,IF(AN7:AN42&lt;&gt;"",ROW(AK7:AK42)-MIN(ROW(AK7:AK42))+1))),ROW()-ROW(A$45)+1)),"##0"),",",SUBSTITUTE(SUBSTITUTE(INDEX(IF(PURCHASE_DESCRIPTION&lt;&gt;"",PURCHASE_DESCRIPTION&amp;":","")&amp;A7:A42,SMALL(IF(ISNUMBER(AK7:AK42),IF(AK7:AK42&gt;0,IF(AN7:AN42&lt;&gt;"",ROW(AK7:AK42)-MIN(ROW(AK7:AK42))+1))),ROW()-ROW(A$45)+1)),",",";"),"
",";"),",",SUBSTITUTE(SUBSTITUTE(INDEX(IF(PURCHASE_DESCRIPTION&lt;&gt;"",PURCHASE_DESCRIPTION&amp;":","")&amp;C7:C42,SMALL(IF(ISNUMBER(AK7:AK42),IF(AK7:AK42&gt;0,IF(AN7:AN42&lt;&gt;"",ROW(AK7:AK42)-MIN(ROW(AK7:AK42))+1))),ROW()-ROW(A$45)+1)),",",";"),"
",";"),",",SUBSTITUTE(SUBSTITUTE(INDEX(IF(PURCHASE_DESCRIPTION&lt;&gt;"",PURCHASE_DESCRIPTION&amp;":","")&amp;F7:F42,SMALL(IF(ISNUMBER(AK7:AK42),IF(AK7:AK42&gt;0,IF(AN7:AN42&lt;&gt;"",ROW(AK7:AK42)-MIN(ROW(AK7:AK42))+1))),ROW()-ROW(A$45)+1)),",",";"),"
",";"),",",SUBSTITUTE(SUBSTITUTE(INDEX(IF(PURCHASE_DESCRIPTION&lt;&gt;"",PURCHASE_DESCRIPTION&amp;":","")&amp;D7:D42,SMALL(IF(ISNUMBER(AK7:AK42),IF(AK7:AK42&gt;0,IF(AN7:AN42&lt;&gt;"",ROW(AK7:AK42)-MIN(ROW(AK7:AK42))+1))),ROW()-ROW(A$45)+1)),",",";"),"
",";")),"")</f>
        <v>0</v>
      </c>
      <c r="AP78">
        <f t="array" ref="AP78">IFERROR(CONCATENATE(INDEX(AS7:AS42,SMALL(IF(ISNUMBER(AP7:AP42),IF(AP7:AP42&gt;0,IF(AS7:AS42&lt;&gt;"",ROW(AP7:AP42)-MIN(ROW(AP7:AP42))+1))),ROW()-ROW(A$45)+1)),",",TEXT(INDEX(AP7:AP42,SMALL(IF(ISNUMBER(AP7:AP42),IF(AP7:AP42&gt;0,IF(AS7:AS42&lt;&gt;"",ROW(AP7:AP42)-MIN(ROW(AP7:AP42))+1))),ROW()-ROW(A$45)+1)),"##0"),",",,",",,",",,",",INDEX(G7:G42,SMALL(IF(ISNUMBER(AP7:AP42),IF(AP7:AP42&gt;0,IF(AS7:AS42&lt;&gt;"",ROW(AP7:AP42)-MIN(ROW(AP7:AP42))+1))),ROW()-ROW(A$45)+1)),",",SUBSTITUTE(INDEX(IF(PURCHASE_DESCRIPTION&lt;&gt;"",PURCHASE_DESCRIPTION&amp;":","")&amp;A7:A42,SMALL(IF(ISNUMBER(AP7:AP42),IF(AP7:AP42&gt;0,IF(AS7:AS42&lt;&gt;"",ROW(AP7:AP42)-MIN(ROW(AP7:AP42))+1))),ROW()-ROW(A$45)+1)),",",";")),"")</f>
        <v>0</v>
      </c>
      <c r="AU78">
        <f t="array" ref="AU78">IFERROR(CONCATENATE(INDEX(AX7:AX42,SMALL(IF(ISNUMBER(AU7:AU42),IF(AU7:AU42&gt;0,IF(AX7:AX42&lt;&gt;"",ROW(AU7:AU42)-MIN(ROW(AU7:AU42))+1))),ROW()-ROW(A$45)+1))," ",TEXT(INDEX(AU7:AU42,SMALL(IF(ISNUMBER(AU7:AU42),IF(AU7:AU42&gt;0,IF(AX7:AX42&lt;&gt;"",ROW(AU7:AU42)-MIN(ROW(AU7:AU42))+1))),ROW()-ROW(A$45)+1)),"##0")," ",SUBSTITUTE(INDEX(IF(PURCHASE_DESCRIPTION&lt;&gt;"",PURCHASE_DESCRIPTION&amp;":","")&amp;A7:A42,SMALL(IF(ISNUMBER(AU7:AU42),IF(AU7:AU42&gt;0,IF(AX7:AX42&lt;&gt;"",ROW(AU7:AU42)-MIN(ROW(AU7:AU42))+1))),ROW()-ROW(A$45)+1))," ",";")),"")</f>
        <v>0</v>
      </c>
    </row>
    <row r="79" spans="12:47">
      <c r="L79">
        <f t="array" ref="L79">IFERROR(CONCATENATE(INDEX(O7:O42,SMALL(IF(ISNUMBER(L7:L42),IF(L7:L42&gt;0,IF(O7:O42&lt;&gt;"",ROW(L7:L42)-MIN(ROW(L7:L42))+1))),ROW()-ROW(A$45)+1)),",",TEXT(INDEX(L7:L42,SMALL(IF(ISNUMBER(L7:L42),IF(L7:L42&gt;0,IF(O7:O42&lt;&gt;"",ROW(L7:L42)-MIN(ROW(L7:L42))+1))),ROW()-ROW(A$45)+1)),"##0"),",",SUBSTITUTE(INDEX(IF(PURCHASE_DESCRIPTION&lt;&gt;"",PURCHASE_DESCRIPTION&amp;":","")&amp;A7:A42,SMALL(IF(ISNUMBER(L7:L42),IF(L7:L42&gt;0,IF(O7:O42&lt;&gt;"",ROW(L7:L42)-MIN(ROW(L7:L42))+1))),ROW()-ROW(A$45)+1)),",",";")),"")</f>
        <v>0</v>
      </c>
      <c r="Q79">
        <f t="array" ref="Q79">IFERROR(CONCATENATE(TEXT(INDEX(Q7:Q42,SMALL(IF(ISNUMBER(Q7:Q42),IF(Q7:Q42&gt;0,IF(T7:T42&lt;&gt;"",ROW(Q7:Q42)-MIN(ROW(Q7:Q42))+1))),ROW()-ROW(A$45)+1)),"##0"),",",INDEX(T7:T42,SMALL(IF(ISNUMBER(Q7:Q42),IF(Q7:Q42&gt;0,IF(T7:T42&lt;&gt;"",ROW(Q7:Q42)-MIN(ROW(Q7:Q42))+1))),ROW()-ROW(A$45)+1)),",",SUBSTITUTE(INDEX(IF(PURCHASE_DESCRIPTION&lt;&gt;"",PURCHASE_DESCRIPTION&amp;":","")&amp;A7:A42,SMALL(IF(ISNUMBER(Q7:Q42),IF(Q7:Q42&gt;0,IF(T7:T42&lt;&gt;"",ROW(Q7:Q42)-MIN(ROW(Q7:Q42))+1))),ROW()-ROW(A$45)+1)),",",";")),"")</f>
        <v>0</v>
      </c>
      <c r="V79">
        <f t="array" ref="V79">IFERROR(CONCATENATE(INDEX(Y7:Y42,SMALL(IF(ISNUMBER(V7:V42),IF(V7:V42&gt;0,IF(Y7:Y42&lt;&gt;"",ROW(V7:V42)-MIN(ROW(V7:V42))+1))),ROW()-ROW(A$45)+1)),",",TEXT(INDEX(V7:V42,SMALL(IF(ISNUMBER(V7:V42),IF(V7:V42&gt;0,IF(Y7:Y42&lt;&gt;"",ROW(V7:V42)-MIN(ROW(V7:V42))+1))),ROW()-ROW(A$45)+1)),"##0"),",",SUBSTITUTE(SUBSTITUTE(INDEX(IF(PURCHASE_DESCRIPTION&lt;&gt;"",PURCHASE_DESCRIPTION&amp;":","")&amp;A7:A42,SMALL(IF(ISNUMBER(V7:V42),IF(V7:V42&gt;0,IF(Y7:Y42&lt;&gt;"",ROW(V7:V42)-MIN(ROW(V7:V42))+1))),ROW()-ROW(A$45)+1)),",",";"),"
",";"),",",SUBSTITUTE(SUBSTITUTE(INDEX(IF(PURCHASE_DESCRIPTION&lt;&gt;"",PURCHASE_DESCRIPTION&amp;":","")&amp;C7:C42,SMALL(IF(ISNUMBER(V7:V42),IF(V7:V42&gt;0,IF(Y7:Y42&lt;&gt;"",ROW(V7:V42)-MIN(ROW(V7:V42))+1))),ROW()-ROW(A$45)+1)),",",";"),"
",";"),",",SUBSTITUTE(SUBSTITUTE(INDEX(IF(PURCHASE_DESCRIPTION&lt;&gt;"",PURCHASE_DESCRIPTION&amp;":","")&amp;F7:F42,SMALL(IF(ISNUMBER(V7:V42),IF(V7:V42&gt;0,IF(Y7:Y42&lt;&gt;"",ROW(V7:V42)-MIN(ROW(V7:V42))+1))),ROW()-ROW(A$45)+1)),",",";"),"
",";"),",",SUBSTITUTE(SUBSTITUTE(INDEX(IF(PURCHASE_DESCRIPTION&lt;&gt;"",PURCHASE_DESCRIPTION&amp;":","")&amp;D7:D42,SMALL(IF(ISNUMBER(V7:V42),IF(V7:V42&gt;0,IF(Y7:Y42&lt;&gt;"",ROW(V7:V42)-MIN(ROW(V7:V42))+1))),ROW()-ROW(A$45)+1)),",",";"),"
",";")),"")</f>
        <v>0</v>
      </c>
      <c r="AA79">
        <f t="array" ref="AA79">IFERROR(CONCATENATE(TEXT(INDEX(AA7:AA42,SMALL(IF(ISNUMBER(AA7:AA42),IF(AA7:AA42&gt;0,IF(AD7:AD42&lt;&gt;"",ROW(AA7:AA42)-MIN(ROW(AA7:AA42))+1))),ROW()-ROW(A$46)+1)),"##0"),",",SUBSTITUTE(INDEX(IF(PURCHASE_DESCRIPTION&lt;&gt;"",PURCHASE_DESCRIPTION&amp;":","")&amp;A7:A42,SMALL(IF(ISNUMBER(AA7:AA42),IF(AA7:AA42&gt;0,IF(AD7:AD42&lt;&gt;"",ROW(AA7:AA42)-MIN(ROW(AA7:AA42))+1))),ROW()-ROW(A$46)+1)),",",";"),",",SUBSTITUTE(INDEX(IF(PURCHASE_DESCRIPTION&lt;&gt;"",PURCHASE_DESCRIPTION&amp;":","")&amp;E7:E42,SMALL(IF(ISNUMBER(AA7:AA42),IF(AA7:AA42&gt;0,IF(AD7:AD42&lt;&gt;"",ROW(AA7:AA42)-MIN(ROW(AA7:AA42))+1))),ROW()-ROW(A$46)+1)),",",";"),",",INDEX(AD7:AD42,SMALL(IF(ISNUMBER(AA7:AA42),IF(AA7:AA42&gt;0,IF(AD7:AD42&lt;&gt;"",ROW(AA7:AA42)-MIN(ROW(AA7:AA42))+1))),ROW()-ROW(A$46)+1))),"")</f>
        <v>0</v>
      </c>
      <c r="AF79">
        <f t="array" ref="AF79">IFERROR(CONCATENATE(INDEX(AI7:AI42,SMALL(IF(ISNUMBER(AF7:AF42),IF(AF7:AF42&gt;0,IF(AI7:AI42&lt;&gt;"",ROW(AF7:AF42)-MIN(ROW(AF7:AF42))+1))),ROW()-ROW(A$45)+1)),"|",TEXT(INDEX(AF7:AF42,SMALL(IF(ISNUMBER(AF7:AF42),IF(AF7:AF42&gt;0,IF(AI7:AI42&lt;&gt;"",ROW(AF7:AF42)-MIN(ROW(AF7:AF42))+1))),ROW()-ROW(A$45)+1)),"##0"),"|",SUBSTITUTE(SUBSTITUTE(INDEX(IF(PURCHASE_DESCRIPTION&lt;&gt;"",PURCHASE_DESCRIPTION&amp;":","")&amp;A7:A42,SMALL(IF(ISNUMBER(AF7:AF42),IF(AF7:AF42&gt;0,IF(AI7:AI42&lt;&gt;"",ROW(AF7:AF42)-MIN(ROW(AF7:AF42))+1))),ROW()-ROW(A$45)+1)),"|",";")," ","_")),"")</f>
        <v>0</v>
      </c>
      <c r="AK79">
        <f t="array" ref="AK79">IFERROR(CONCATENATE(INDEX(AN7:AN42,SMALL(IF(ISNUMBER(AK7:AK42),IF(AK7:AK42&gt;0,IF(AN7:AN42&lt;&gt;"",ROW(AK7:AK42)-MIN(ROW(AK7:AK42))+1))),ROW()-ROW(A$45)+1)),",",TEXT(INDEX(AK7:AK42,SMALL(IF(ISNUMBER(AK7:AK42),IF(AK7:AK42&gt;0,IF(AN7:AN42&lt;&gt;"",ROW(AK7:AK42)-MIN(ROW(AK7:AK42))+1))),ROW()-ROW(A$45)+1)),"##0"),",",SUBSTITUTE(SUBSTITUTE(INDEX(IF(PURCHASE_DESCRIPTION&lt;&gt;"",PURCHASE_DESCRIPTION&amp;":","")&amp;A7:A42,SMALL(IF(ISNUMBER(AK7:AK42),IF(AK7:AK42&gt;0,IF(AN7:AN42&lt;&gt;"",ROW(AK7:AK42)-MIN(ROW(AK7:AK42))+1))),ROW()-ROW(A$45)+1)),",",";"),"
",";"),",",SUBSTITUTE(SUBSTITUTE(INDEX(IF(PURCHASE_DESCRIPTION&lt;&gt;"",PURCHASE_DESCRIPTION&amp;":","")&amp;C7:C42,SMALL(IF(ISNUMBER(AK7:AK42),IF(AK7:AK42&gt;0,IF(AN7:AN42&lt;&gt;"",ROW(AK7:AK42)-MIN(ROW(AK7:AK42))+1))),ROW()-ROW(A$45)+1)),",",";"),"
",";"),",",SUBSTITUTE(SUBSTITUTE(INDEX(IF(PURCHASE_DESCRIPTION&lt;&gt;"",PURCHASE_DESCRIPTION&amp;":","")&amp;F7:F42,SMALL(IF(ISNUMBER(AK7:AK42),IF(AK7:AK42&gt;0,IF(AN7:AN42&lt;&gt;"",ROW(AK7:AK42)-MIN(ROW(AK7:AK42))+1))),ROW()-ROW(A$45)+1)),",",";"),"
",";"),",",SUBSTITUTE(SUBSTITUTE(INDEX(IF(PURCHASE_DESCRIPTION&lt;&gt;"",PURCHASE_DESCRIPTION&amp;":","")&amp;D7:D42,SMALL(IF(ISNUMBER(AK7:AK42),IF(AK7:AK42&gt;0,IF(AN7:AN42&lt;&gt;"",ROW(AK7:AK42)-MIN(ROW(AK7:AK42))+1))),ROW()-ROW(A$45)+1)),",",";"),"
",";")),"")</f>
        <v>0</v>
      </c>
      <c r="AP79">
        <f t="array" ref="AP79">IFERROR(CONCATENATE(INDEX(AS7:AS42,SMALL(IF(ISNUMBER(AP7:AP42),IF(AP7:AP42&gt;0,IF(AS7:AS42&lt;&gt;"",ROW(AP7:AP42)-MIN(ROW(AP7:AP42))+1))),ROW()-ROW(A$45)+1)),",",TEXT(INDEX(AP7:AP42,SMALL(IF(ISNUMBER(AP7:AP42),IF(AP7:AP42&gt;0,IF(AS7:AS42&lt;&gt;"",ROW(AP7:AP42)-MIN(ROW(AP7:AP42))+1))),ROW()-ROW(A$45)+1)),"##0"),",",,",",,",",,",",INDEX(G7:G42,SMALL(IF(ISNUMBER(AP7:AP42),IF(AP7:AP42&gt;0,IF(AS7:AS42&lt;&gt;"",ROW(AP7:AP42)-MIN(ROW(AP7:AP42))+1))),ROW()-ROW(A$45)+1)),",",SUBSTITUTE(INDEX(IF(PURCHASE_DESCRIPTION&lt;&gt;"",PURCHASE_DESCRIPTION&amp;":","")&amp;A7:A42,SMALL(IF(ISNUMBER(AP7:AP42),IF(AP7:AP42&gt;0,IF(AS7:AS42&lt;&gt;"",ROW(AP7:AP42)-MIN(ROW(AP7:AP42))+1))),ROW()-ROW(A$45)+1)),",",";")),"")</f>
        <v>0</v>
      </c>
      <c r="AU79">
        <f t="array" ref="AU79">IFERROR(CONCATENATE(INDEX(AX7:AX42,SMALL(IF(ISNUMBER(AU7:AU42),IF(AU7:AU42&gt;0,IF(AX7:AX42&lt;&gt;"",ROW(AU7:AU42)-MIN(ROW(AU7:AU42))+1))),ROW()-ROW(A$45)+1))," ",TEXT(INDEX(AU7:AU42,SMALL(IF(ISNUMBER(AU7:AU42),IF(AU7:AU42&gt;0,IF(AX7:AX42&lt;&gt;"",ROW(AU7:AU42)-MIN(ROW(AU7:AU42))+1))),ROW()-ROW(A$45)+1)),"##0")," ",SUBSTITUTE(INDEX(IF(PURCHASE_DESCRIPTION&lt;&gt;"",PURCHASE_DESCRIPTION&amp;":","")&amp;A7:A42,SMALL(IF(ISNUMBER(AU7:AU42),IF(AU7:AU42&gt;0,IF(AX7:AX42&lt;&gt;"",ROW(AU7:AU42)-MIN(ROW(AU7:AU42))+1))),ROW()-ROW(A$45)+1))," ",";")),"")</f>
        <v>0</v>
      </c>
    </row>
    <row r="80" spans="12:47">
      <c r="L80">
        <f t="array" ref="L80">IFERROR(CONCATENATE(INDEX(O7:O42,SMALL(IF(ISNUMBER(L7:L42),IF(L7:L42&gt;0,IF(O7:O42&lt;&gt;"",ROW(L7:L42)-MIN(ROW(L7:L42))+1))),ROW()-ROW(A$45)+1)),",",TEXT(INDEX(L7:L42,SMALL(IF(ISNUMBER(L7:L42),IF(L7:L42&gt;0,IF(O7:O42&lt;&gt;"",ROW(L7:L42)-MIN(ROW(L7:L42))+1))),ROW()-ROW(A$45)+1)),"##0"),",",SUBSTITUTE(INDEX(IF(PURCHASE_DESCRIPTION&lt;&gt;"",PURCHASE_DESCRIPTION&amp;":","")&amp;A7:A42,SMALL(IF(ISNUMBER(L7:L42),IF(L7:L42&gt;0,IF(O7:O42&lt;&gt;"",ROW(L7:L42)-MIN(ROW(L7:L42))+1))),ROW()-ROW(A$45)+1)),",",";")),"")</f>
        <v>0</v>
      </c>
      <c r="Q80">
        <f t="array" ref="Q80">IFERROR(CONCATENATE(TEXT(INDEX(Q7:Q42,SMALL(IF(ISNUMBER(Q7:Q42),IF(Q7:Q42&gt;0,IF(T7:T42&lt;&gt;"",ROW(Q7:Q42)-MIN(ROW(Q7:Q42))+1))),ROW()-ROW(A$45)+1)),"##0"),",",INDEX(T7:T42,SMALL(IF(ISNUMBER(Q7:Q42),IF(Q7:Q42&gt;0,IF(T7:T42&lt;&gt;"",ROW(Q7:Q42)-MIN(ROW(Q7:Q42))+1))),ROW()-ROW(A$45)+1)),",",SUBSTITUTE(INDEX(IF(PURCHASE_DESCRIPTION&lt;&gt;"",PURCHASE_DESCRIPTION&amp;":","")&amp;A7:A42,SMALL(IF(ISNUMBER(Q7:Q42),IF(Q7:Q42&gt;0,IF(T7:T42&lt;&gt;"",ROW(Q7:Q42)-MIN(ROW(Q7:Q42))+1))),ROW()-ROW(A$45)+1)),",",";")),"")</f>
        <v>0</v>
      </c>
      <c r="V80">
        <f t="array" ref="V80">IFERROR(CONCATENATE(INDEX(Y7:Y42,SMALL(IF(ISNUMBER(V7:V42),IF(V7:V42&gt;0,IF(Y7:Y42&lt;&gt;"",ROW(V7:V42)-MIN(ROW(V7:V42))+1))),ROW()-ROW(A$45)+1)),",",TEXT(INDEX(V7:V42,SMALL(IF(ISNUMBER(V7:V42),IF(V7:V42&gt;0,IF(Y7:Y42&lt;&gt;"",ROW(V7:V42)-MIN(ROW(V7:V42))+1))),ROW()-ROW(A$45)+1)),"##0"),",",SUBSTITUTE(SUBSTITUTE(INDEX(IF(PURCHASE_DESCRIPTION&lt;&gt;"",PURCHASE_DESCRIPTION&amp;":","")&amp;A7:A42,SMALL(IF(ISNUMBER(V7:V42),IF(V7:V42&gt;0,IF(Y7:Y42&lt;&gt;"",ROW(V7:V42)-MIN(ROW(V7:V42))+1))),ROW()-ROW(A$45)+1)),",",";"),"
",";"),",",SUBSTITUTE(SUBSTITUTE(INDEX(IF(PURCHASE_DESCRIPTION&lt;&gt;"",PURCHASE_DESCRIPTION&amp;":","")&amp;C7:C42,SMALL(IF(ISNUMBER(V7:V42),IF(V7:V42&gt;0,IF(Y7:Y42&lt;&gt;"",ROW(V7:V42)-MIN(ROW(V7:V42))+1))),ROW()-ROW(A$45)+1)),",",";"),"
",";"),",",SUBSTITUTE(SUBSTITUTE(INDEX(IF(PURCHASE_DESCRIPTION&lt;&gt;"",PURCHASE_DESCRIPTION&amp;":","")&amp;F7:F42,SMALL(IF(ISNUMBER(V7:V42),IF(V7:V42&gt;0,IF(Y7:Y42&lt;&gt;"",ROW(V7:V42)-MIN(ROW(V7:V42))+1))),ROW()-ROW(A$45)+1)),",",";"),"
",";"),",",SUBSTITUTE(SUBSTITUTE(INDEX(IF(PURCHASE_DESCRIPTION&lt;&gt;"",PURCHASE_DESCRIPTION&amp;":","")&amp;D7:D42,SMALL(IF(ISNUMBER(V7:V42),IF(V7:V42&gt;0,IF(Y7:Y42&lt;&gt;"",ROW(V7:V42)-MIN(ROW(V7:V42))+1))),ROW()-ROW(A$45)+1)),",",";"),"
",";")),"")</f>
        <v>0</v>
      </c>
      <c r="AA80">
        <f t="array" ref="AA80">IFERROR(CONCATENATE(TEXT(INDEX(AA7:AA42,SMALL(IF(ISNUMBER(AA7:AA42),IF(AA7:AA42&gt;0,IF(AD7:AD42&lt;&gt;"",ROW(AA7:AA42)-MIN(ROW(AA7:AA42))+1))),ROW()-ROW(A$46)+1)),"##0"),",",SUBSTITUTE(INDEX(IF(PURCHASE_DESCRIPTION&lt;&gt;"",PURCHASE_DESCRIPTION&amp;":","")&amp;A7:A42,SMALL(IF(ISNUMBER(AA7:AA42),IF(AA7:AA42&gt;0,IF(AD7:AD42&lt;&gt;"",ROW(AA7:AA42)-MIN(ROW(AA7:AA42))+1))),ROW()-ROW(A$46)+1)),",",";"),",",SUBSTITUTE(INDEX(IF(PURCHASE_DESCRIPTION&lt;&gt;"",PURCHASE_DESCRIPTION&amp;":","")&amp;E7:E42,SMALL(IF(ISNUMBER(AA7:AA42),IF(AA7:AA42&gt;0,IF(AD7:AD42&lt;&gt;"",ROW(AA7:AA42)-MIN(ROW(AA7:AA42))+1))),ROW()-ROW(A$46)+1)),",",";"),",",INDEX(AD7:AD42,SMALL(IF(ISNUMBER(AA7:AA42),IF(AA7:AA42&gt;0,IF(AD7:AD42&lt;&gt;"",ROW(AA7:AA42)-MIN(ROW(AA7:AA42))+1))),ROW()-ROW(A$46)+1))),"")</f>
        <v>0</v>
      </c>
      <c r="AF80">
        <f t="array" ref="AF80">IFERROR(CONCATENATE(INDEX(AI7:AI42,SMALL(IF(ISNUMBER(AF7:AF42),IF(AF7:AF42&gt;0,IF(AI7:AI42&lt;&gt;"",ROW(AF7:AF42)-MIN(ROW(AF7:AF42))+1))),ROW()-ROW(A$45)+1)),"|",TEXT(INDEX(AF7:AF42,SMALL(IF(ISNUMBER(AF7:AF42),IF(AF7:AF42&gt;0,IF(AI7:AI42&lt;&gt;"",ROW(AF7:AF42)-MIN(ROW(AF7:AF42))+1))),ROW()-ROW(A$45)+1)),"##0"),"|",SUBSTITUTE(SUBSTITUTE(INDEX(IF(PURCHASE_DESCRIPTION&lt;&gt;"",PURCHASE_DESCRIPTION&amp;":","")&amp;A7:A42,SMALL(IF(ISNUMBER(AF7:AF42),IF(AF7:AF42&gt;0,IF(AI7:AI42&lt;&gt;"",ROW(AF7:AF42)-MIN(ROW(AF7:AF42))+1))),ROW()-ROW(A$45)+1)),"|",";")," ","_")),"")</f>
        <v>0</v>
      </c>
      <c r="AK80">
        <f t="array" ref="AK80">IFERROR(CONCATENATE(INDEX(AN7:AN42,SMALL(IF(ISNUMBER(AK7:AK42),IF(AK7:AK42&gt;0,IF(AN7:AN42&lt;&gt;"",ROW(AK7:AK42)-MIN(ROW(AK7:AK42))+1))),ROW()-ROW(A$45)+1)),",",TEXT(INDEX(AK7:AK42,SMALL(IF(ISNUMBER(AK7:AK42),IF(AK7:AK42&gt;0,IF(AN7:AN42&lt;&gt;"",ROW(AK7:AK42)-MIN(ROW(AK7:AK42))+1))),ROW()-ROW(A$45)+1)),"##0"),",",SUBSTITUTE(SUBSTITUTE(INDEX(IF(PURCHASE_DESCRIPTION&lt;&gt;"",PURCHASE_DESCRIPTION&amp;":","")&amp;A7:A42,SMALL(IF(ISNUMBER(AK7:AK42),IF(AK7:AK42&gt;0,IF(AN7:AN42&lt;&gt;"",ROW(AK7:AK42)-MIN(ROW(AK7:AK42))+1))),ROW()-ROW(A$45)+1)),",",";"),"
",";"),",",SUBSTITUTE(SUBSTITUTE(INDEX(IF(PURCHASE_DESCRIPTION&lt;&gt;"",PURCHASE_DESCRIPTION&amp;":","")&amp;C7:C42,SMALL(IF(ISNUMBER(AK7:AK42),IF(AK7:AK42&gt;0,IF(AN7:AN42&lt;&gt;"",ROW(AK7:AK42)-MIN(ROW(AK7:AK42))+1))),ROW()-ROW(A$45)+1)),",",";"),"
",";"),",",SUBSTITUTE(SUBSTITUTE(INDEX(IF(PURCHASE_DESCRIPTION&lt;&gt;"",PURCHASE_DESCRIPTION&amp;":","")&amp;F7:F42,SMALL(IF(ISNUMBER(AK7:AK42),IF(AK7:AK42&gt;0,IF(AN7:AN42&lt;&gt;"",ROW(AK7:AK42)-MIN(ROW(AK7:AK42))+1))),ROW()-ROW(A$45)+1)),",",";"),"
",";"),",",SUBSTITUTE(SUBSTITUTE(INDEX(IF(PURCHASE_DESCRIPTION&lt;&gt;"",PURCHASE_DESCRIPTION&amp;":","")&amp;D7:D42,SMALL(IF(ISNUMBER(AK7:AK42),IF(AK7:AK42&gt;0,IF(AN7:AN42&lt;&gt;"",ROW(AK7:AK42)-MIN(ROW(AK7:AK42))+1))),ROW()-ROW(A$45)+1)),",",";"),"
",";")),"")</f>
        <v>0</v>
      </c>
      <c r="AP80">
        <f t="array" ref="AP80">IFERROR(CONCATENATE(INDEX(AS7:AS42,SMALL(IF(ISNUMBER(AP7:AP42),IF(AP7:AP42&gt;0,IF(AS7:AS42&lt;&gt;"",ROW(AP7:AP42)-MIN(ROW(AP7:AP42))+1))),ROW()-ROW(A$45)+1)),",",TEXT(INDEX(AP7:AP42,SMALL(IF(ISNUMBER(AP7:AP42),IF(AP7:AP42&gt;0,IF(AS7:AS42&lt;&gt;"",ROW(AP7:AP42)-MIN(ROW(AP7:AP42))+1))),ROW()-ROW(A$45)+1)),"##0"),",",,",",,",",,",",INDEX(G7:G42,SMALL(IF(ISNUMBER(AP7:AP42),IF(AP7:AP42&gt;0,IF(AS7:AS42&lt;&gt;"",ROW(AP7:AP42)-MIN(ROW(AP7:AP42))+1))),ROW()-ROW(A$45)+1)),",",SUBSTITUTE(INDEX(IF(PURCHASE_DESCRIPTION&lt;&gt;"",PURCHASE_DESCRIPTION&amp;":","")&amp;A7:A42,SMALL(IF(ISNUMBER(AP7:AP42),IF(AP7:AP42&gt;0,IF(AS7:AS42&lt;&gt;"",ROW(AP7:AP42)-MIN(ROW(AP7:AP42))+1))),ROW()-ROW(A$45)+1)),",",";")),"")</f>
        <v>0</v>
      </c>
      <c r="AU80">
        <f t="array" ref="AU80">IFERROR(CONCATENATE(INDEX(AX7:AX42,SMALL(IF(ISNUMBER(AU7:AU42),IF(AU7:AU42&gt;0,IF(AX7:AX42&lt;&gt;"",ROW(AU7:AU42)-MIN(ROW(AU7:AU42))+1))),ROW()-ROW(A$45)+1))," ",TEXT(INDEX(AU7:AU42,SMALL(IF(ISNUMBER(AU7:AU42),IF(AU7:AU42&gt;0,IF(AX7:AX42&lt;&gt;"",ROW(AU7:AU42)-MIN(ROW(AU7:AU42))+1))),ROW()-ROW(A$45)+1)),"##0")," ",SUBSTITUTE(INDEX(IF(PURCHASE_DESCRIPTION&lt;&gt;"",PURCHASE_DESCRIPTION&amp;":","")&amp;A7:A42,SMALL(IF(ISNUMBER(AU7:AU42),IF(AU7:AU42&gt;0,IF(AX7:AX42&lt;&gt;"",ROW(AU7:AU42)-MIN(ROW(AU7:AU42))+1))),ROW()-ROW(A$45)+1))," ",";")),"")</f>
        <v>0</v>
      </c>
    </row>
    <row r="81" spans="27:27">
      <c r="AA81">
        <f t="array" ref="AA81">IFERROR(CONCATENATE(TEXT(INDEX(AA7:AA42,SMALL(IF(ISNUMBER(AA7:AA42),IF(AA7:AA42&gt;0,IF(AD7:AD42&lt;&gt;"",ROW(AA7:AA42)-MIN(ROW(AA7:AA42))+1))),ROW()-ROW(A$46)+1)),"##0"),",",SUBSTITUTE(INDEX(IF(PURCHASE_DESCRIPTION&lt;&gt;"",PURCHASE_DESCRIPTION&amp;":","")&amp;A7:A42,SMALL(IF(ISNUMBER(AA7:AA42),IF(AA7:AA42&gt;0,IF(AD7:AD42&lt;&gt;"",ROW(AA7:AA42)-MIN(ROW(AA7:AA42))+1))),ROW()-ROW(A$46)+1)),",",";"),",",SUBSTITUTE(INDEX(IF(PURCHASE_DESCRIPTION&lt;&gt;"",PURCHASE_DESCRIPTION&amp;":","")&amp;E7:E42,SMALL(IF(ISNUMBER(AA7:AA42),IF(AA7:AA42&gt;0,IF(AD7:AD42&lt;&gt;"",ROW(AA7:AA42)-MIN(ROW(AA7:AA42))+1))),ROW()-ROW(A$46)+1)),",",";"),",",INDEX(AD7:AD42,SMALL(IF(ISNUMBER(AA7:AA42),IF(AA7:AA42&gt;0,IF(AD7:AD42&lt;&gt;"",ROW(AA7:AA42)-MIN(ROW(AA7:AA42))+1))),ROW()-ROW(A$46)+1))),"")</f>
        <v>0</v>
      </c>
    </row>
  </sheetData>
  <mergeCells count="9">
    <mergeCell ref="A5:J5"/>
    <mergeCell ref="K5:O5"/>
    <mergeCell ref="P5:T5"/>
    <mergeCell ref="U5:Y5"/>
    <mergeCell ref="Z5:AD5"/>
    <mergeCell ref="AE5:AI5"/>
    <mergeCell ref="AJ5:AN5"/>
    <mergeCell ref="AO5:AS5"/>
    <mergeCell ref="AT5:AX5"/>
  </mergeCells>
  <conditionalFormatting sqref="AA10">
    <cfRule type="expression" dxfId="3" priority="468">
      <formula>AND(AA10&gt;0,AA10&lt;5)</formula>
    </cfRule>
    <cfRule type="cellIs" dxfId="1" priority="469" operator="greaterThan">
      <formula>Z10</formula>
    </cfRule>
  </conditionalFormatting>
  <conditionalFormatting sqref="AA12">
    <cfRule type="expression" dxfId="3" priority="474">
      <formula>AND(AA12&gt;0,AA12&lt;100)</formula>
    </cfRule>
    <cfRule type="cellIs" dxfId="1" priority="475" operator="greaterThan">
      <formula>Z12</formula>
    </cfRule>
  </conditionalFormatting>
  <conditionalFormatting sqref="AA20">
    <cfRule type="cellIs" dxfId="1" priority="480" operator="greaterThan">
      <formula>Z20</formula>
    </cfRule>
  </conditionalFormatting>
  <conditionalFormatting sqref="AA21">
    <cfRule type="expression" dxfId="3" priority="485">
      <formula>AND(AA21&gt;0,AA21&lt;50)</formula>
    </cfRule>
    <cfRule type="cellIs" dxfId="1" priority="486" operator="greaterThan">
      <formula>Z21</formula>
    </cfRule>
  </conditionalFormatting>
  <conditionalFormatting sqref="AA23">
    <cfRule type="expression" dxfId="3" priority="491">
      <formula>AND(AA23&gt;0,AA23&lt;50)</formula>
    </cfRule>
    <cfRule type="cellIs" dxfId="1" priority="492" operator="greaterThan">
      <formula>Z23</formula>
    </cfRule>
  </conditionalFormatting>
  <conditionalFormatting sqref="AA29">
    <cfRule type="expression" dxfId="3" priority="497">
      <formula>AND(AA29&gt;0,AA29&lt;50)</formula>
    </cfRule>
    <cfRule type="cellIs" dxfId="1" priority="498" operator="greaterThan">
      <formula>Z29</formula>
    </cfRule>
  </conditionalFormatting>
  <conditionalFormatting sqref="AA30">
    <cfRule type="expression" dxfId="3" priority="503">
      <formula>AND(AA30&gt;0,AA30&lt;50)</formula>
    </cfRule>
    <cfRule type="cellIs" dxfId="1" priority="504" operator="greaterThan">
      <formula>Z30</formula>
    </cfRule>
  </conditionalFormatting>
  <conditionalFormatting sqref="AA36">
    <cfRule type="cellIs" dxfId="1" priority="509" operator="greaterThan">
      <formula>Z36</formula>
    </cfRule>
  </conditionalFormatting>
  <conditionalFormatting sqref="AA37">
    <cfRule type="cellIs" dxfId="1" priority="514" operator="greaterThan">
      <formula>Z37</formula>
    </cfRule>
  </conditionalFormatting>
  <conditionalFormatting sqref="AA7">
    <cfRule type="expression" dxfId="3" priority="462">
      <formula>AND(AA7&gt;0,AA7&lt;5)</formula>
    </cfRule>
    <cfRule type="cellIs" dxfId="1" priority="463" operator="greaterThan">
      <formula>Z7</formula>
    </cfRule>
  </conditionalFormatting>
  <conditionalFormatting sqref="AB10">
    <cfRule type="cellIs" dxfId="4" priority="471" operator="lessThanOrEqual">
      <formula>I10</formula>
    </cfRule>
  </conditionalFormatting>
  <conditionalFormatting sqref="AB12">
    <cfRule type="cellIs" dxfId="4" priority="477" operator="lessThanOrEqual">
      <formula>I12</formula>
    </cfRule>
  </conditionalFormatting>
  <conditionalFormatting sqref="AB20">
    <cfRule type="cellIs" dxfId="4" priority="482" operator="lessThanOrEqual">
      <formula>I20</formula>
    </cfRule>
  </conditionalFormatting>
  <conditionalFormatting sqref="AB21">
    <cfRule type="cellIs" dxfId="4" priority="488" operator="lessThanOrEqual">
      <formula>I21</formula>
    </cfRule>
  </conditionalFormatting>
  <conditionalFormatting sqref="AB23">
    <cfRule type="cellIs" dxfId="4" priority="494" operator="lessThanOrEqual">
      <formula>I23</formula>
    </cfRule>
  </conditionalFormatting>
  <conditionalFormatting sqref="AB29">
    <cfRule type="cellIs" dxfId="4" priority="500" operator="lessThanOrEqual">
      <formula>I29</formula>
    </cfRule>
  </conditionalFormatting>
  <conditionalFormatting sqref="AB30">
    <cfRule type="cellIs" dxfId="4" priority="506" operator="lessThanOrEqual">
      <formula>I30</formula>
    </cfRule>
  </conditionalFormatting>
  <conditionalFormatting sqref="AB36">
    <cfRule type="cellIs" dxfId="4" priority="511" operator="lessThanOrEqual">
      <formula>I36</formula>
    </cfRule>
  </conditionalFormatting>
  <conditionalFormatting sqref="AB37">
    <cfRule type="cellIs" dxfId="4" priority="516" operator="lessThanOrEqual">
      <formula>I37</formula>
    </cfRule>
  </conditionalFormatting>
  <conditionalFormatting sqref="AB7">
    <cfRule type="cellIs" dxfId="4" priority="465" operator="lessThanOrEqual">
      <formula>I7</formula>
    </cfRule>
  </conditionalFormatting>
  <conditionalFormatting sqref="AC10">
    <cfRule type="cellIs" dxfId="4" priority="470" operator="lessThanOrEqual">
      <formula>J10</formula>
    </cfRule>
  </conditionalFormatting>
  <conditionalFormatting sqref="AC12">
    <cfRule type="cellIs" dxfId="4" priority="476" operator="lessThanOrEqual">
      <formula>J12</formula>
    </cfRule>
  </conditionalFormatting>
  <conditionalFormatting sqref="AC20">
    <cfRule type="cellIs" dxfId="4" priority="481" operator="lessThanOrEqual">
      <formula>J20</formula>
    </cfRule>
  </conditionalFormatting>
  <conditionalFormatting sqref="AC21">
    <cfRule type="cellIs" dxfId="4" priority="487" operator="lessThanOrEqual">
      <formula>J21</formula>
    </cfRule>
  </conditionalFormatting>
  <conditionalFormatting sqref="AC23">
    <cfRule type="cellIs" dxfId="4" priority="493" operator="lessThanOrEqual">
      <formula>J23</formula>
    </cfRule>
  </conditionalFormatting>
  <conditionalFormatting sqref="AC29">
    <cfRule type="cellIs" dxfId="4" priority="499" operator="lessThanOrEqual">
      <formula>J29</formula>
    </cfRule>
  </conditionalFormatting>
  <conditionalFormatting sqref="AC30">
    <cfRule type="cellIs" dxfId="4" priority="505" operator="lessThanOrEqual">
      <formula>J30</formula>
    </cfRule>
  </conditionalFormatting>
  <conditionalFormatting sqref="AC36">
    <cfRule type="cellIs" dxfId="4" priority="510" operator="lessThanOrEqual">
      <formula>J36</formula>
    </cfRule>
  </conditionalFormatting>
  <conditionalFormatting sqref="AC37">
    <cfRule type="cellIs" dxfId="4" priority="515" operator="lessThanOrEqual">
      <formula>J37</formula>
    </cfRule>
  </conditionalFormatting>
  <conditionalFormatting sqref="AC7">
    <cfRule type="cellIs" dxfId="4" priority="464" operator="lessThanOrEqual">
      <formula>J7</formula>
    </cfRule>
  </conditionalFormatting>
  <conditionalFormatting sqref="AE10">
    <cfRule type="cellIs" dxfId="1" priority="532" operator="equal">
      <formula>0</formula>
    </cfRule>
    <cfRule type="cellIs" dxfId="2" priority="533" operator="lessThan">
      <formula>H10</formula>
    </cfRule>
  </conditionalFormatting>
  <conditionalFormatting sqref="AE11">
    <cfRule type="cellIs" dxfId="1" priority="537" operator="equal">
      <formula>0</formula>
    </cfRule>
    <cfRule type="cellIs" dxfId="2" priority="538" operator="lessThan">
      <formula>H11</formula>
    </cfRule>
  </conditionalFormatting>
  <conditionalFormatting sqref="AE12">
    <cfRule type="cellIs" dxfId="1" priority="542" operator="equal">
      <formula>0</formula>
    </cfRule>
    <cfRule type="cellIs" dxfId="2" priority="543" operator="lessThan">
      <formula>H12</formula>
    </cfRule>
  </conditionalFormatting>
  <conditionalFormatting sqref="AE13">
    <cfRule type="cellIs" dxfId="1" priority="547" operator="equal">
      <formula>0</formula>
    </cfRule>
    <cfRule type="cellIs" dxfId="2" priority="548" operator="lessThan">
      <formula>H13</formula>
    </cfRule>
  </conditionalFormatting>
  <conditionalFormatting sqref="AE14">
    <cfRule type="cellIs" dxfId="1" priority="552" operator="equal">
      <formula>0</formula>
    </cfRule>
    <cfRule type="cellIs" dxfId="2" priority="553" operator="lessThan">
      <formula>H14</formula>
    </cfRule>
  </conditionalFormatting>
  <conditionalFormatting sqref="AE15">
    <cfRule type="cellIs" dxfId="1" priority="557" operator="equal">
      <formula>0</formula>
    </cfRule>
    <cfRule type="cellIs" dxfId="2" priority="558" operator="lessThan">
      <formula>H15</formula>
    </cfRule>
  </conditionalFormatting>
  <conditionalFormatting sqref="AE21">
    <cfRule type="cellIs" dxfId="1" priority="562" operator="equal">
      <formula>0</formula>
    </cfRule>
    <cfRule type="cellIs" dxfId="2" priority="563" operator="lessThan">
      <formula>H21</formula>
    </cfRule>
  </conditionalFormatting>
  <conditionalFormatting sqref="AE22">
    <cfRule type="cellIs" dxfId="1" priority="567" operator="equal">
      <formula>0</formula>
    </cfRule>
    <cfRule type="cellIs" dxfId="2" priority="568" operator="lessThan">
      <formula>H22</formula>
    </cfRule>
  </conditionalFormatting>
  <conditionalFormatting sqref="AE23">
    <cfRule type="cellIs" dxfId="1" priority="572" operator="equal">
      <formula>0</formula>
    </cfRule>
    <cfRule type="cellIs" dxfId="2" priority="573" operator="lessThan">
      <formula>H23</formula>
    </cfRule>
  </conditionalFormatting>
  <conditionalFormatting sqref="AE24">
    <cfRule type="cellIs" dxfId="1" priority="577" operator="equal">
      <formula>0</formula>
    </cfRule>
    <cfRule type="cellIs" dxfId="2" priority="578" operator="lessThan">
      <formula>H24</formula>
    </cfRule>
  </conditionalFormatting>
  <conditionalFormatting sqref="AE25">
    <cfRule type="cellIs" dxfId="1" priority="582" operator="equal">
      <formula>0</formula>
    </cfRule>
    <cfRule type="cellIs" dxfId="2" priority="583" operator="lessThan">
      <formula>H25</formula>
    </cfRule>
  </conditionalFormatting>
  <conditionalFormatting sqref="AE26">
    <cfRule type="cellIs" dxfId="1" priority="587" operator="equal">
      <formula>0</formula>
    </cfRule>
    <cfRule type="cellIs" dxfId="2" priority="588" operator="lessThan">
      <formula>H26</formula>
    </cfRule>
  </conditionalFormatting>
  <conditionalFormatting sqref="AE27">
    <cfRule type="cellIs" dxfId="1" priority="592" operator="equal">
      <formula>0</formula>
    </cfRule>
    <cfRule type="cellIs" dxfId="2" priority="593" operator="lessThan">
      <formula>H27</formula>
    </cfRule>
  </conditionalFormatting>
  <conditionalFormatting sqref="AE28">
    <cfRule type="cellIs" dxfId="1" priority="597" operator="equal">
      <formula>0</formula>
    </cfRule>
    <cfRule type="cellIs" dxfId="2" priority="598" operator="lessThan">
      <formula>H28</formula>
    </cfRule>
  </conditionalFormatting>
  <conditionalFormatting sqref="AE29">
    <cfRule type="cellIs" dxfId="1" priority="602" operator="equal">
      <formula>0</formula>
    </cfRule>
    <cfRule type="cellIs" dxfId="2" priority="603" operator="lessThan">
      <formula>H29</formula>
    </cfRule>
  </conditionalFormatting>
  <conditionalFormatting sqref="AE30">
    <cfRule type="cellIs" dxfId="1" priority="607" operator="equal">
      <formula>0</formula>
    </cfRule>
    <cfRule type="cellIs" dxfId="2" priority="608" operator="lessThan">
      <formula>H30</formula>
    </cfRule>
  </conditionalFormatting>
  <conditionalFormatting sqref="AE31">
    <cfRule type="cellIs" dxfId="1" priority="612" operator="equal">
      <formula>0</formula>
    </cfRule>
    <cfRule type="cellIs" dxfId="2" priority="613" operator="lessThan">
      <formula>H31</formula>
    </cfRule>
  </conditionalFormatting>
  <conditionalFormatting sqref="AE32">
    <cfRule type="cellIs" dxfId="1" priority="617" operator="equal">
      <formula>0</formula>
    </cfRule>
    <cfRule type="cellIs" dxfId="2" priority="618" operator="lessThan">
      <formula>H32</formula>
    </cfRule>
  </conditionalFormatting>
  <conditionalFormatting sqref="AE34">
    <cfRule type="cellIs" dxfId="1" priority="622" operator="equal">
      <formula>0</formula>
    </cfRule>
    <cfRule type="cellIs" dxfId="2" priority="623" operator="lessThan">
      <formula>H34</formula>
    </cfRule>
  </conditionalFormatting>
  <conditionalFormatting sqref="AE35">
    <cfRule type="cellIs" dxfId="1" priority="627" operator="equal">
      <formula>0</formula>
    </cfRule>
    <cfRule type="cellIs" dxfId="2" priority="628" operator="lessThan">
      <formula>H35</formula>
    </cfRule>
  </conditionalFormatting>
  <conditionalFormatting sqref="AE36">
    <cfRule type="cellIs" dxfId="1" priority="632" operator="equal">
      <formula>0</formula>
    </cfRule>
    <cfRule type="cellIs" dxfId="2" priority="633" operator="lessThan">
      <formula>H36</formula>
    </cfRule>
  </conditionalFormatting>
  <conditionalFormatting sqref="AE37">
    <cfRule type="cellIs" dxfId="1" priority="637" operator="equal">
      <formula>0</formula>
    </cfRule>
    <cfRule type="cellIs" dxfId="2" priority="638" operator="lessThan">
      <formula>H37</formula>
    </cfRule>
  </conditionalFormatting>
  <conditionalFormatting sqref="AE38">
    <cfRule type="cellIs" dxfId="1" priority="642" operator="equal">
      <formula>0</formula>
    </cfRule>
    <cfRule type="cellIs" dxfId="2" priority="643" operator="lessThan">
      <formula>H38</formula>
    </cfRule>
  </conditionalFormatting>
  <conditionalFormatting sqref="AE39">
    <cfRule type="cellIs" dxfId="1" priority="647" operator="equal">
      <formula>0</formula>
    </cfRule>
    <cfRule type="cellIs" dxfId="2" priority="648" operator="lessThan">
      <formula>H39</formula>
    </cfRule>
  </conditionalFormatting>
  <conditionalFormatting sqref="AE40">
    <cfRule type="cellIs" dxfId="1" priority="652" operator="equal">
      <formula>0</formula>
    </cfRule>
    <cfRule type="cellIs" dxfId="2" priority="653" operator="lessThan">
      <formula>H40</formula>
    </cfRule>
  </conditionalFormatting>
  <conditionalFormatting sqref="AE42">
    <cfRule type="cellIs" dxfId="1" priority="657" operator="equal">
      <formula>0</formula>
    </cfRule>
    <cfRule type="cellIs" dxfId="2" priority="658" operator="lessThan">
      <formula>H42</formula>
    </cfRule>
  </conditionalFormatting>
  <conditionalFormatting sqref="AE7">
    <cfRule type="cellIs" dxfId="1" priority="517" operator="equal">
      <formula>0</formula>
    </cfRule>
    <cfRule type="cellIs" dxfId="2" priority="518" operator="lessThan">
      <formula>H7</formula>
    </cfRule>
  </conditionalFormatting>
  <conditionalFormatting sqref="AE8">
    <cfRule type="cellIs" dxfId="1" priority="522" operator="equal">
      <formula>0</formula>
    </cfRule>
    <cfRule type="cellIs" dxfId="2" priority="523" operator="lessThan">
      <formula>H8</formula>
    </cfRule>
  </conditionalFormatting>
  <conditionalFormatting sqref="AE9">
    <cfRule type="cellIs" dxfId="1" priority="527" operator="equal">
      <formula>0</formula>
    </cfRule>
    <cfRule type="cellIs" dxfId="2" priority="528" operator="lessThan">
      <formula>H9</formula>
    </cfRule>
  </conditionalFormatting>
  <conditionalFormatting sqref="AF10">
    <cfRule type="cellIs" dxfId="1" priority="534" operator="greaterThan">
      <formula>AE10</formula>
    </cfRule>
  </conditionalFormatting>
  <conditionalFormatting sqref="AF11">
    <cfRule type="cellIs" dxfId="1" priority="539" operator="greaterThan">
      <formula>AE11</formula>
    </cfRule>
  </conditionalFormatting>
  <conditionalFormatting sqref="AF12">
    <cfRule type="cellIs" dxfId="1" priority="544" operator="greaterThan">
      <formula>AE12</formula>
    </cfRule>
  </conditionalFormatting>
  <conditionalFormatting sqref="AF13">
    <cfRule type="cellIs" dxfId="1" priority="549" operator="greaterThan">
      <formula>AE13</formula>
    </cfRule>
  </conditionalFormatting>
  <conditionalFormatting sqref="AF14">
    <cfRule type="cellIs" dxfId="1" priority="554" operator="greaterThan">
      <formula>AE14</formula>
    </cfRule>
  </conditionalFormatting>
  <conditionalFormatting sqref="AF15">
    <cfRule type="cellIs" dxfId="1" priority="559" operator="greaterThan">
      <formula>AE15</formula>
    </cfRule>
  </conditionalFormatting>
  <conditionalFormatting sqref="AF21">
    <cfRule type="cellIs" dxfId="1" priority="564" operator="greaterThan">
      <formula>AE21</formula>
    </cfRule>
  </conditionalFormatting>
  <conditionalFormatting sqref="AF22">
    <cfRule type="cellIs" dxfId="1" priority="569" operator="greaterThan">
      <formula>AE22</formula>
    </cfRule>
  </conditionalFormatting>
  <conditionalFormatting sqref="AF23">
    <cfRule type="cellIs" dxfId="1" priority="574" operator="greaterThan">
      <formula>AE23</formula>
    </cfRule>
  </conditionalFormatting>
  <conditionalFormatting sqref="AF24">
    <cfRule type="cellIs" dxfId="1" priority="579" operator="greaterThan">
      <formula>AE24</formula>
    </cfRule>
  </conditionalFormatting>
  <conditionalFormatting sqref="AF25">
    <cfRule type="cellIs" dxfId="1" priority="584" operator="greaterThan">
      <formula>AE25</formula>
    </cfRule>
  </conditionalFormatting>
  <conditionalFormatting sqref="AF26">
    <cfRule type="cellIs" dxfId="1" priority="589" operator="greaterThan">
      <formula>AE26</formula>
    </cfRule>
  </conditionalFormatting>
  <conditionalFormatting sqref="AF27">
    <cfRule type="cellIs" dxfId="1" priority="594" operator="greaterThan">
      <formula>AE27</formula>
    </cfRule>
  </conditionalFormatting>
  <conditionalFormatting sqref="AF28">
    <cfRule type="cellIs" dxfId="1" priority="599" operator="greaterThan">
      <formula>AE28</formula>
    </cfRule>
  </conditionalFormatting>
  <conditionalFormatting sqref="AF29">
    <cfRule type="cellIs" dxfId="1" priority="604" operator="greaterThan">
      <formula>AE29</formula>
    </cfRule>
  </conditionalFormatting>
  <conditionalFormatting sqref="AF30">
    <cfRule type="cellIs" dxfId="1" priority="609" operator="greaterThan">
      <formula>AE30</formula>
    </cfRule>
  </conditionalFormatting>
  <conditionalFormatting sqref="AF31">
    <cfRule type="cellIs" dxfId="1" priority="614" operator="greaterThan">
      <formula>AE31</formula>
    </cfRule>
  </conditionalFormatting>
  <conditionalFormatting sqref="AF32">
    <cfRule type="cellIs" dxfId="1" priority="619" operator="greaterThan">
      <formula>AE32</formula>
    </cfRule>
  </conditionalFormatting>
  <conditionalFormatting sqref="AF34">
    <cfRule type="cellIs" dxfId="1" priority="624" operator="greaterThan">
      <formula>AE34</formula>
    </cfRule>
  </conditionalFormatting>
  <conditionalFormatting sqref="AF35">
    <cfRule type="cellIs" dxfId="1" priority="629" operator="greaterThan">
      <formula>AE35</formula>
    </cfRule>
  </conditionalFormatting>
  <conditionalFormatting sqref="AF36">
    <cfRule type="cellIs" dxfId="1" priority="634" operator="greaterThan">
      <formula>AE36</formula>
    </cfRule>
  </conditionalFormatting>
  <conditionalFormatting sqref="AF37">
    <cfRule type="cellIs" dxfId="1" priority="639" operator="greaterThan">
      <formula>AE37</formula>
    </cfRule>
  </conditionalFormatting>
  <conditionalFormatting sqref="AF38">
    <cfRule type="cellIs" dxfId="1" priority="644" operator="greaterThan">
      <formula>AE38</formula>
    </cfRule>
  </conditionalFormatting>
  <conditionalFormatting sqref="AF39">
    <cfRule type="cellIs" dxfId="1" priority="649" operator="greaterThan">
      <formula>AE39</formula>
    </cfRule>
  </conditionalFormatting>
  <conditionalFormatting sqref="AF40">
    <cfRule type="cellIs" dxfId="1" priority="654" operator="greaterThan">
      <formula>AE40</formula>
    </cfRule>
  </conditionalFormatting>
  <conditionalFormatting sqref="AF42">
    <cfRule type="cellIs" dxfId="1" priority="659" operator="greaterThan">
      <formula>AE42</formula>
    </cfRule>
  </conditionalFormatting>
  <conditionalFormatting sqref="AF7">
    <cfRule type="cellIs" dxfId="1" priority="519" operator="greaterThan">
      <formula>AE7</formula>
    </cfRule>
  </conditionalFormatting>
  <conditionalFormatting sqref="AF8">
    <cfRule type="cellIs" dxfId="1" priority="524" operator="greaterThan">
      <formula>AE8</formula>
    </cfRule>
  </conditionalFormatting>
  <conditionalFormatting sqref="AF9">
    <cfRule type="cellIs" dxfId="1" priority="529" operator="greaterThan">
      <formula>AE9</formula>
    </cfRule>
  </conditionalFormatting>
  <conditionalFormatting sqref="AG10">
    <cfRule type="cellIs" dxfId="4" priority="536" operator="lessThanOrEqual">
      <formula>I10</formula>
    </cfRule>
  </conditionalFormatting>
  <conditionalFormatting sqref="AG11">
    <cfRule type="cellIs" dxfId="4" priority="541" operator="lessThanOrEqual">
      <formula>I11</formula>
    </cfRule>
  </conditionalFormatting>
  <conditionalFormatting sqref="AG12">
    <cfRule type="cellIs" dxfId="4" priority="546" operator="lessThanOrEqual">
      <formula>I12</formula>
    </cfRule>
  </conditionalFormatting>
  <conditionalFormatting sqref="AG13">
    <cfRule type="cellIs" dxfId="4" priority="551" operator="lessThanOrEqual">
      <formula>I13</formula>
    </cfRule>
  </conditionalFormatting>
  <conditionalFormatting sqref="AG14">
    <cfRule type="cellIs" dxfId="4" priority="556" operator="lessThanOrEqual">
      <formula>I14</formula>
    </cfRule>
  </conditionalFormatting>
  <conditionalFormatting sqref="AG15">
    <cfRule type="cellIs" dxfId="4" priority="561" operator="lessThanOrEqual">
      <formula>I15</formula>
    </cfRule>
  </conditionalFormatting>
  <conditionalFormatting sqref="AG21">
    <cfRule type="cellIs" dxfId="4" priority="566" operator="lessThanOrEqual">
      <formula>I21</formula>
    </cfRule>
  </conditionalFormatting>
  <conditionalFormatting sqref="AG22">
    <cfRule type="cellIs" dxfId="4" priority="571" operator="lessThanOrEqual">
      <formula>I22</formula>
    </cfRule>
  </conditionalFormatting>
  <conditionalFormatting sqref="AG23">
    <cfRule type="cellIs" dxfId="4" priority="576" operator="lessThanOrEqual">
      <formula>I23</formula>
    </cfRule>
  </conditionalFormatting>
  <conditionalFormatting sqref="AG24">
    <cfRule type="cellIs" dxfId="4" priority="581" operator="lessThanOrEqual">
      <formula>I24</formula>
    </cfRule>
  </conditionalFormatting>
  <conditionalFormatting sqref="AG25">
    <cfRule type="cellIs" dxfId="4" priority="586" operator="lessThanOrEqual">
      <formula>I25</formula>
    </cfRule>
  </conditionalFormatting>
  <conditionalFormatting sqref="AG26">
    <cfRule type="cellIs" dxfId="4" priority="591" operator="lessThanOrEqual">
      <formula>I26</formula>
    </cfRule>
  </conditionalFormatting>
  <conditionalFormatting sqref="AG27">
    <cfRule type="cellIs" dxfId="4" priority="596" operator="lessThanOrEqual">
      <formula>I27</formula>
    </cfRule>
  </conditionalFormatting>
  <conditionalFormatting sqref="AG28">
    <cfRule type="cellIs" dxfId="4" priority="601" operator="lessThanOrEqual">
      <formula>I28</formula>
    </cfRule>
  </conditionalFormatting>
  <conditionalFormatting sqref="AG29">
    <cfRule type="cellIs" dxfId="4" priority="606" operator="lessThanOrEqual">
      <formula>I29</formula>
    </cfRule>
  </conditionalFormatting>
  <conditionalFormatting sqref="AG30">
    <cfRule type="cellIs" dxfId="4" priority="611" operator="lessThanOrEqual">
      <formula>I30</formula>
    </cfRule>
  </conditionalFormatting>
  <conditionalFormatting sqref="AG31">
    <cfRule type="cellIs" dxfId="4" priority="616" operator="lessThanOrEqual">
      <formula>I31</formula>
    </cfRule>
  </conditionalFormatting>
  <conditionalFormatting sqref="AG32">
    <cfRule type="cellIs" dxfId="4" priority="621" operator="lessThanOrEqual">
      <formula>I32</formula>
    </cfRule>
  </conditionalFormatting>
  <conditionalFormatting sqref="AG34">
    <cfRule type="cellIs" dxfId="4" priority="626" operator="lessThanOrEqual">
      <formula>I34</formula>
    </cfRule>
  </conditionalFormatting>
  <conditionalFormatting sqref="AG35">
    <cfRule type="cellIs" dxfId="4" priority="631" operator="lessThanOrEqual">
      <formula>I35</formula>
    </cfRule>
  </conditionalFormatting>
  <conditionalFormatting sqref="AG36">
    <cfRule type="cellIs" dxfId="4" priority="636" operator="lessThanOrEqual">
      <formula>I36</formula>
    </cfRule>
  </conditionalFormatting>
  <conditionalFormatting sqref="AG37">
    <cfRule type="cellIs" dxfId="4" priority="641" operator="lessThanOrEqual">
      <formula>I37</formula>
    </cfRule>
  </conditionalFormatting>
  <conditionalFormatting sqref="AG38">
    <cfRule type="cellIs" dxfId="4" priority="646" operator="lessThanOrEqual">
      <formula>I38</formula>
    </cfRule>
  </conditionalFormatting>
  <conditionalFormatting sqref="AG39">
    <cfRule type="cellIs" dxfId="4" priority="651" operator="lessThanOrEqual">
      <formula>I39</formula>
    </cfRule>
  </conditionalFormatting>
  <conditionalFormatting sqref="AG40">
    <cfRule type="cellIs" dxfId="4" priority="656" operator="lessThanOrEqual">
      <formula>I40</formula>
    </cfRule>
  </conditionalFormatting>
  <conditionalFormatting sqref="AG42">
    <cfRule type="cellIs" dxfId="4" priority="661" operator="lessThanOrEqual">
      <formula>I42</formula>
    </cfRule>
  </conditionalFormatting>
  <conditionalFormatting sqref="AG7">
    <cfRule type="cellIs" dxfId="4" priority="521" operator="lessThanOrEqual">
      <formula>I7</formula>
    </cfRule>
  </conditionalFormatting>
  <conditionalFormatting sqref="AG8">
    <cfRule type="cellIs" dxfId="4" priority="526" operator="lessThanOrEqual">
      <formula>I8</formula>
    </cfRule>
  </conditionalFormatting>
  <conditionalFormatting sqref="AG9">
    <cfRule type="cellIs" dxfId="4" priority="531" operator="lessThanOrEqual">
      <formula>I9</formula>
    </cfRule>
  </conditionalFormatting>
  <conditionalFormatting sqref="AH10">
    <cfRule type="cellIs" dxfId="4" priority="535" operator="lessThanOrEqual">
      <formula>J10</formula>
    </cfRule>
  </conditionalFormatting>
  <conditionalFormatting sqref="AH11">
    <cfRule type="cellIs" dxfId="4" priority="540" operator="lessThanOrEqual">
      <formula>J11</formula>
    </cfRule>
  </conditionalFormatting>
  <conditionalFormatting sqref="AH12">
    <cfRule type="cellIs" dxfId="4" priority="545" operator="lessThanOrEqual">
      <formula>J12</formula>
    </cfRule>
  </conditionalFormatting>
  <conditionalFormatting sqref="AH13">
    <cfRule type="cellIs" dxfId="4" priority="550" operator="lessThanOrEqual">
      <formula>J13</formula>
    </cfRule>
  </conditionalFormatting>
  <conditionalFormatting sqref="AH14">
    <cfRule type="cellIs" dxfId="4" priority="555" operator="lessThanOrEqual">
      <formula>J14</formula>
    </cfRule>
  </conditionalFormatting>
  <conditionalFormatting sqref="AH15">
    <cfRule type="cellIs" dxfId="4" priority="560" operator="lessThanOrEqual">
      <formula>J15</formula>
    </cfRule>
  </conditionalFormatting>
  <conditionalFormatting sqref="AH21">
    <cfRule type="cellIs" dxfId="4" priority="565" operator="lessThanOrEqual">
      <formula>J21</formula>
    </cfRule>
  </conditionalFormatting>
  <conditionalFormatting sqref="AH22">
    <cfRule type="cellIs" dxfId="4" priority="570" operator="lessThanOrEqual">
      <formula>J22</formula>
    </cfRule>
  </conditionalFormatting>
  <conditionalFormatting sqref="AH23">
    <cfRule type="cellIs" dxfId="4" priority="575" operator="lessThanOrEqual">
      <formula>J23</formula>
    </cfRule>
  </conditionalFormatting>
  <conditionalFormatting sqref="AH24">
    <cfRule type="cellIs" dxfId="4" priority="580" operator="lessThanOrEqual">
      <formula>J24</formula>
    </cfRule>
  </conditionalFormatting>
  <conditionalFormatting sqref="AH25">
    <cfRule type="cellIs" dxfId="4" priority="585" operator="lessThanOrEqual">
      <formula>J25</formula>
    </cfRule>
  </conditionalFormatting>
  <conditionalFormatting sqref="AH26">
    <cfRule type="cellIs" dxfId="4" priority="590" operator="lessThanOrEqual">
      <formula>J26</formula>
    </cfRule>
  </conditionalFormatting>
  <conditionalFormatting sqref="AH27">
    <cfRule type="cellIs" dxfId="4" priority="595" operator="lessThanOrEqual">
      <formula>J27</formula>
    </cfRule>
  </conditionalFormatting>
  <conditionalFormatting sqref="AH28">
    <cfRule type="cellIs" dxfId="4" priority="600" operator="lessThanOrEqual">
      <formula>J28</formula>
    </cfRule>
  </conditionalFormatting>
  <conditionalFormatting sqref="AH29">
    <cfRule type="cellIs" dxfId="4" priority="605" operator="lessThanOrEqual">
      <formula>J29</formula>
    </cfRule>
  </conditionalFormatting>
  <conditionalFormatting sqref="AH30">
    <cfRule type="cellIs" dxfId="4" priority="610" operator="lessThanOrEqual">
      <formula>J30</formula>
    </cfRule>
  </conditionalFormatting>
  <conditionalFormatting sqref="AH31">
    <cfRule type="cellIs" dxfId="4" priority="615" operator="lessThanOrEqual">
      <formula>J31</formula>
    </cfRule>
  </conditionalFormatting>
  <conditionalFormatting sqref="AH32">
    <cfRule type="cellIs" dxfId="4" priority="620" operator="lessThanOrEqual">
      <formula>J32</formula>
    </cfRule>
  </conditionalFormatting>
  <conditionalFormatting sqref="AH34">
    <cfRule type="cellIs" dxfId="4" priority="625" operator="lessThanOrEqual">
      <formula>J34</formula>
    </cfRule>
  </conditionalFormatting>
  <conditionalFormatting sqref="AH35">
    <cfRule type="cellIs" dxfId="4" priority="630" operator="lessThanOrEqual">
      <formula>J35</formula>
    </cfRule>
  </conditionalFormatting>
  <conditionalFormatting sqref="AH36">
    <cfRule type="cellIs" dxfId="4" priority="635" operator="lessThanOrEqual">
      <formula>J36</formula>
    </cfRule>
  </conditionalFormatting>
  <conditionalFormatting sqref="AH37">
    <cfRule type="cellIs" dxfId="4" priority="640" operator="lessThanOrEqual">
      <formula>J37</formula>
    </cfRule>
  </conditionalFormatting>
  <conditionalFormatting sqref="AH38">
    <cfRule type="cellIs" dxfId="4" priority="645" operator="lessThanOrEqual">
      <formula>J38</formula>
    </cfRule>
  </conditionalFormatting>
  <conditionalFormatting sqref="AH39">
    <cfRule type="cellIs" dxfId="4" priority="650" operator="lessThanOrEqual">
      <formula>J39</formula>
    </cfRule>
  </conditionalFormatting>
  <conditionalFormatting sqref="AH40">
    <cfRule type="cellIs" dxfId="4" priority="655" operator="lessThanOrEqual">
      <formula>J40</formula>
    </cfRule>
  </conditionalFormatting>
  <conditionalFormatting sqref="AH42">
    <cfRule type="cellIs" dxfId="4" priority="660" operator="lessThanOrEqual">
      <formula>J42</formula>
    </cfRule>
  </conditionalFormatting>
  <conditionalFormatting sqref="AH7">
    <cfRule type="cellIs" dxfId="4" priority="520" operator="lessThanOrEqual">
      <formula>J7</formula>
    </cfRule>
  </conditionalFormatting>
  <conditionalFormatting sqref="AH8">
    <cfRule type="cellIs" dxfId="4" priority="525" operator="lessThanOrEqual">
      <formula>J8</formula>
    </cfRule>
  </conditionalFormatting>
  <conditionalFormatting sqref="AH9">
    <cfRule type="cellIs" dxfId="4" priority="530" operator="lessThanOrEqual">
      <formula>J9</formula>
    </cfRule>
  </conditionalFormatting>
  <conditionalFormatting sqref="AJ10">
    <cfRule type="cellIs" dxfId="1" priority="678" operator="equal">
      <formula>0</formula>
    </cfRule>
    <cfRule type="cellIs" dxfId="2" priority="679" operator="lessThan">
      <formula>H10</formula>
    </cfRule>
  </conditionalFormatting>
  <conditionalFormatting sqref="AJ11">
    <cfRule type="cellIs" dxfId="1" priority="683" operator="equal">
      <formula>0</formula>
    </cfRule>
    <cfRule type="cellIs" dxfId="2" priority="684" operator="lessThan">
      <formula>H11</formula>
    </cfRule>
  </conditionalFormatting>
  <conditionalFormatting sqref="AJ12">
    <cfRule type="cellIs" dxfId="1" priority="688" operator="equal">
      <formula>0</formula>
    </cfRule>
    <cfRule type="cellIs" dxfId="2" priority="689" operator="lessThan">
      <formula>H12</formula>
    </cfRule>
  </conditionalFormatting>
  <conditionalFormatting sqref="AJ13">
    <cfRule type="cellIs" dxfId="1" priority="693" operator="equal">
      <formula>0</formula>
    </cfRule>
    <cfRule type="cellIs" dxfId="2" priority="694" operator="lessThan">
      <formula>H13</formula>
    </cfRule>
  </conditionalFormatting>
  <conditionalFormatting sqref="AJ14">
    <cfRule type="cellIs" dxfId="1" priority="698" operator="equal">
      <formula>0</formula>
    </cfRule>
    <cfRule type="cellIs" dxfId="2" priority="699" operator="lessThan">
      <formula>H14</formula>
    </cfRule>
  </conditionalFormatting>
  <conditionalFormatting sqref="AJ15">
    <cfRule type="cellIs" dxfId="1" priority="703" operator="equal">
      <formula>0</formula>
    </cfRule>
    <cfRule type="cellIs" dxfId="2" priority="704" operator="lessThan">
      <formula>H15</formula>
    </cfRule>
  </conditionalFormatting>
  <conditionalFormatting sqref="AJ21">
    <cfRule type="cellIs" dxfId="1" priority="708" operator="equal">
      <formula>0</formula>
    </cfRule>
    <cfRule type="cellIs" dxfId="2" priority="709" operator="lessThan">
      <formula>H21</formula>
    </cfRule>
  </conditionalFormatting>
  <conditionalFormatting sqref="AJ22">
    <cfRule type="cellIs" dxfId="1" priority="713" operator="equal">
      <formula>0</formula>
    </cfRule>
    <cfRule type="cellIs" dxfId="2" priority="714" operator="lessThan">
      <formula>H22</formula>
    </cfRule>
  </conditionalFormatting>
  <conditionalFormatting sqref="AJ23">
    <cfRule type="cellIs" dxfId="1" priority="718" operator="equal">
      <formula>0</formula>
    </cfRule>
    <cfRule type="cellIs" dxfId="2" priority="719" operator="lessThan">
      <formula>H23</formula>
    </cfRule>
  </conditionalFormatting>
  <conditionalFormatting sqref="AJ24">
    <cfRule type="cellIs" dxfId="1" priority="723" operator="equal">
      <formula>0</formula>
    </cfRule>
    <cfRule type="cellIs" dxfId="2" priority="724" operator="lessThan">
      <formula>H24</formula>
    </cfRule>
  </conditionalFormatting>
  <conditionalFormatting sqref="AJ25">
    <cfRule type="cellIs" dxfId="1" priority="728" operator="equal">
      <formula>0</formula>
    </cfRule>
    <cfRule type="cellIs" dxfId="2" priority="729" operator="lessThan">
      <formula>H25</formula>
    </cfRule>
  </conditionalFormatting>
  <conditionalFormatting sqref="AJ26">
    <cfRule type="cellIs" dxfId="1" priority="734" operator="equal">
      <formula>0</formula>
    </cfRule>
    <cfRule type="cellIs" dxfId="2" priority="735" operator="lessThan">
      <formula>H26</formula>
    </cfRule>
  </conditionalFormatting>
  <conditionalFormatting sqref="AJ27">
    <cfRule type="cellIs" dxfId="1" priority="739" operator="equal">
      <formula>0</formula>
    </cfRule>
    <cfRule type="cellIs" dxfId="2" priority="740" operator="lessThan">
      <formula>H27</formula>
    </cfRule>
  </conditionalFormatting>
  <conditionalFormatting sqref="AJ29">
    <cfRule type="cellIs" dxfId="1" priority="745" operator="equal">
      <formula>0</formula>
    </cfRule>
    <cfRule type="cellIs" dxfId="2" priority="746" operator="lessThan">
      <formula>H29</formula>
    </cfRule>
  </conditionalFormatting>
  <conditionalFormatting sqref="AJ30">
    <cfRule type="cellIs" dxfId="1" priority="750" operator="equal">
      <formula>0</formula>
    </cfRule>
    <cfRule type="cellIs" dxfId="2" priority="751" operator="lessThan">
      <formula>H30</formula>
    </cfRule>
  </conditionalFormatting>
  <conditionalFormatting sqref="AJ31">
    <cfRule type="cellIs" dxfId="1" priority="755" operator="equal">
      <formula>0</formula>
    </cfRule>
    <cfRule type="cellIs" dxfId="2" priority="756" operator="lessThan">
      <formula>H31</formula>
    </cfRule>
  </conditionalFormatting>
  <conditionalFormatting sqref="AJ32">
    <cfRule type="cellIs" dxfId="1" priority="760" operator="equal">
      <formula>0</formula>
    </cfRule>
    <cfRule type="cellIs" dxfId="2" priority="761" operator="lessThan">
      <formula>H32</formula>
    </cfRule>
  </conditionalFormatting>
  <conditionalFormatting sqref="AJ34">
    <cfRule type="cellIs" dxfId="1" priority="766" operator="equal">
      <formula>0</formula>
    </cfRule>
    <cfRule type="cellIs" dxfId="2" priority="767" operator="lessThan">
      <formula>H34</formula>
    </cfRule>
  </conditionalFormatting>
  <conditionalFormatting sqref="AJ35">
    <cfRule type="cellIs" dxfId="1" priority="771" operator="equal">
      <formula>0</formula>
    </cfRule>
    <cfRule type="cellIs" dxfId="2" priority="772" operator="lessThan">
      <formula>H35</formula>
    </cfRule>
  </conditionalFormatting>
  <conditionalFormatting sqref="AJ36">
    <cfRule type="cellIs" dxfId="1" priority="776" operator="equal">
      <formula>0</formula>
    </cfRule>
    <cfRule type="cellIs" dxfId="2" priority="777" operator="lessThan">
      <formula>H36</formula>
    </cfRule>
  </conditionalFormatting>
  <conditionalFormatting sqref="AJ38">
    <cfRule type="cellIs" dxfId="1" priority="781" operator="equal">
      <formula>0</formula>
    </cfRule>
    <cfRule type="cellIs" dxfId="2" priority="782" operator="lessThan">
      <formula>H38</formula>
    </cfRule>
  </conditionalFormatting>
  <conditionalFormatting sqref="AJ39">
    <cfRule type="cellIs" dxfId="1" priority="786" operator="equal">
      <formula>0</formula>
    </cfRule>
    <cfRule type="cellIs" dxfId="2" priority="787" operator="lessThan">
      <formula>H39</formula>
    </cfRule>
  </conditionalFormatting>
  <conditionalFormatting sqref="AJ40">
    <cfRule type="cellIs" dxfId="1" priority="791" operator="equal">
      <formula>0</formula>
    </cfRule>
    <cfRule type="cellIs" dxfId="2" priority="792" operator="lessThan">
      <formula>H40</formula>
    </cfRule>
  </conditionalFormatting>
  <conditionalFormatting sqref="AJ42">
    <cfRule type="cellIs" dxfId="1" priority="796" operator="equal">
      <formula>0</formula>
    </cfRule>
    <cfRule type="cellIs" dxfId="2" priority="797" operator="lessThan">
      <formula>H42</formula>
    </cfRule>
  </conditionalFormatting>
  <conditionalFormatting sqref="AJ7">
    <cfRule type="cellIs" dxfId="1" priority="662" operator="equal">
      <formula>0</formula>
    </cfRule>
    <cfRule type="cellIs" dxfId="2" priority="663" operator="lessThan">
      <formula>H7</formula>
    </cfRule>
  </conditionalFormatting>
  <conditionalFormatting sqref="AJ8">
    <cfRule type="cellIs" dxfId="1" priority="667" operator="equal">
      <formula>0</formula>
    </cfRule>
    <cfRule type="cellIs" dxfId="2" priority="668" operator="lessThan">
      <formula>H8</formula>
    </cfRule>
  </conditionalFormatting>
  <conditionalFormatting sqref="AJ9">
    <cfRule type="cellIs" dxfId="1" priority="673" operator="equal">
      <formula>0</formula>
    </cfRule>
    <cfRule type="cellIs" dxfId="2" priority="674" operator="lessThan">
      <formula>H9</formula>
    </cfRule>
  </conditionalFormatting>
  <conditionalFormatting sqref="AK10">
    <cfRule type="cellIs" dxfId="1" priority="680" operator="greaterThan">
      <formula>AJ10</formula>
    </cfRule>
  </conditionalFormatting>
  <conditionalFormatting sqref="AK11">
    <cfRule type="cellIs" dxfId="1" priority="685" operator="greaterThan">
      <formula>AJ11</formula>
    </cfRule>
  </conditionalFormatting>
  <conditionalFormatting sqref="AK12">
    <cfRule type="cellIs" dxfId="1" priority="690" operator="greaterThan">
      <formula>AJ12</formula>
    </cfRule>
  </conditionalFormatting>
  <conditionalFormatting sqref="AK13">
    <cfRule type="cellIs" dxfId="1" priority="695" operator="greaterThan">
      <formula>AJ13</formula>
    </cfRule>
  </conditionalFormatting>
  <conditionalFormatting sqref="AK14">
    <cfRule type="cellIs" dxfId="1" priority="700" operator="greaterThan">
      <formula>AJ14</formula>
    </cfRule>
  </conditionalFormatting>
  <conditionalFormatting sqref="AK15">
    <cfRule type="cellIs" dxfId="1" priority="705" operator="greaterThan">
      <formula>AJ15</formula>
    </cfRule>
  </conditionalFormatting>
  <conditionalFormatting sqref="AK21">
    <cfRule type="cellIs" dxfId="1" priority="710" operator="greaterThan">
      <formula>AJ21</formula>
    </cfRule>
  </conditionalFormatting>
  <conditionalFormatting sqref="AK22">
    <cfRule type="cellIs" dxfId="1" priority="715" operator="greaterThan">
      <formula>AJ22</formula>
    </cfRule>
  </conditionalFormatting>
  <conditionalFormatting sqref="AK23">
    <cfRule type="cellIs" dxfId="1" priority="720" operator="greaterThan">
      <formula>AJ23</formula>
    </cfRule>
  </conditionalFormatting>
  <conditionalFormatting sqref="AK24">
    <cfRule type="cellIs" dxfId="1" priority="725" operator="greaterThan">
      <formula>AJ24</formula>
    </cfRule>
  </conditionalFormatting>
  <conditionalFormatting sqref="AK25">
    <cfRule type="expression" dxfId="3" priority="730">
      <formula>AND(AK25&gt;0,AK25&lt;15000)</formula>
    </cfRule>
    <cfRule type="cellIs" dxfId="1" priority="731" operator="greaterThan">
      <formula>AJ25</formula>
    </cfRule>
  </conditionalFormatting>
  <conditionalFormatting sqref="AK26">
    <cfRule type="cellIs" dxfId="1" priority="736" operator="greaterThan">
      <formula>AJ26</formula>
    </cfRule>
  </conditionalFormatting>
  <conditionalFormatting sqref="AK27">
    <cfRule type="expression" dxfId="3" priority="741">
      <formula>AND(AK27&gt;0,AK27&lt;15000)</formula>
    </cfRule>
    <cfRule type="cellIs" dxfId="1" priority="742" operator="greaterThan">
      <formula>AJ27</formula>
    </cfRule>
  </conditionalFormatting>
  <conditionalFormatting sqref="AK29">
    <cfRule type="cellIs" dxfId="1" priority="747" operator="greaterThan">
      <formula>AJ29</formula>
    </cfRule>
  </conditionalFormatting>
  <conditionalFormatting sqref="AK30">
    <cfRule type="cellIs" dxfId="1" priority="752" operator="greaterThan">
      <formula>AJ30</formula>
    </cfRule>
  </conditionalFormatting>
  <conditionalFormatting sqref="AK31">
    <cfRule type="cellIs" dxfId="1" priority="757" operator="greaterThan">
      <formula>AJ31</formula>
    </cfRule>
  </conditionalFormatting>
  <conditionalFormatting sqref="AK32">
    <cfRule type="expression" dxfId="3" priority="762">
      <formula>AND(AK32&gt;0,AK32&lt;5)</formula>
    </cfRule>
    <cfRule type="cellIs" dxfId="1" priority="763" operator="greaterThan">
      <formula>AJ32</formula>
    </cfRule>
  </conditionalFormatting>
  <conditionalFormatting sqref="AK34">
    <cfRule type="cellIs" dxfId="1" priority="768" operator="greaterThan">
      <formula>AJ34</formula>
    </cfRule>
  </conditionalFormatting>
  <conditionalFormatting sqref="AK35">
    <cfRule type="cellIs" dxfId="1" priority="773" operator="greaterThan">
      <formula>AJ35</formula>
    </cfRule>
  </conditionalFormatting>
  <conditionalFormatting sqref="AK36">
    <cfRule type="cellIs" dxfId="1" priority="778" operator="greaterThan">
      <formula>AJ36</formula>
    </cfRule>
  </conditionalFormatting>
  <conditionalFormatting sqref="AK38">
    <cfRule type="cellIs" dxfId="1" priority="783" operator="greaterThan">
      <formula>AJ38</formula>
    </cfRule>
  </conditionalFormatting>
  <conditionalFormatting sqref="AK39">
    <cfRule type="cellIs" dxfId="1" priority="788" operator="greaterThan">
      <formula>AJ39</formula>
    </cfRule>
  </conditionalFormatting>
  <conditionalFormatting sqref="AK40">
    <cfRule type="cellIs" dxfId="1" priority="793" operator="greaterThan">
      <formula>AJ40</formula>
    </cfRule>
  </conditionalFormatting>
  <conditionalFormatting sqref="AK42">
    <cfRule type="cellIs" dxfId="1" priority="798" operator="greaterThan">
      <formula>AJ42</formula>
    </cfRule>
  </conditionalFormatting>
  <conditionalFormatting sqref="AK7">
    <cfRule type="cellIs" dxfId="1" priority="664" operator="greaterThan">
      <formula>AJ7</formula>
    </cfRule>
  </conditionalFormatting>
  <conditionalFormatting sqref="AK8">
    <cfRule type="expression" dxfId="3" priority="669">
      <formula>AND(AK8&gt;0,AK8&lt;10)</formula>
    </cfRule>
    <cfRule type="cellIs" dxfId="1" priority="670" operator="greaterThan">
      <formula>AJ8</formula>
    </cfRule>
  </conditionalFormatting>
  <conditionalFormatting sqref="AK9">
    <cfRule type="cellIs" dxfId="1" priority="675" operator="greaterThan">
      <formula>AJ9</formula>
    </cfRule>
  </conditionalFormatting>
  <conditionalFormatting sqref="AL10">
    <cfRule type="cellIs" dxfId="4" priority="682" operator="lessThanOrEqual">
      <formula>I10</formula>
    </cfRule>
  </conditionalFormatting>
  <conditionalFormatting sqref="AL11">
    <cfRule type="cellIs" dxfId="4" priority="687" operator="lessThanOrEqual">
      <formula>I11</formula>
    </cfRule>
  </conditionalFormatting>
  <conditionalFormatting sqref="AL12">
    <cfRule type="cellIs" dxfId="4" priority="692" operator="lessThanOrEqual">
      <formula>I12</formula>
    </cfRule>
  </conditionalFormatting>
  <conditionalFormatting sqref="AL13">
    <cfRule type="cellIs" dxfId="4" priority="697" operator="lessThanOrEqual">
      <formula>I13</formula>
    </cfRule>
  </conditionalFormatting>
  <conditionalFormatting sqref="AL14">
    <cfRule type="cellIs" dxfId="4" priority="702" operator="lessThanOrEqual">
      <formula>I14</formula>
    </cfRule>
  </conditionalFormatting>
  <conditionalFormatting sqref="AL15">
    <cfRule type="cellIs" dxfId="4" priority="707" operator="lessThanOrEqual">
      <formula>I15</formula>
    </cfRule>
  </conditionalFormatting>
  <conditionalFormatting sqref="AL21">
    <cfRule type="cellIs" dxfId="4" priority="712" operator="lessThanOrEqual">
      <formula>I21</formula>
    </cfRule>
  </conditionalFormatting>
  <conditionalFormatting sqref="AL22">
    <cfRule type="cellIs" dxfId="4" priority="717" operator="lessThanOrEqual">
      <formula>I22</formula>
    </cfRule>
  </conditionalFormatting>
  <conditionalFormatting sqref="AL23">
    <cfRule type="cellIs" dxfId="4" priority="722" operator="lessThanOrEqual">
      <formula>I23</formula>
    </cfRule>
  </conditionalFormatting>
  <conditionalFormatting sqref="AL24">
    <cfRule type="cellIs" dxfId="4" priority="727" operator="lessThanOrEqual">
      <formula>I24</formula>
    </cfRule>
  </conditionalFormatting>
  <conditionalFormatting sqref="AL25">
    <cfRule type="cellIs" dxfId="4" priority="733" operator="lessThanOrEqual">
      <formula>I25</formula>
    </cfRule>
  </conditionalFormatting>
  <conditionalFormatting sqref="AL26">
    <cfRule type="cellIs" dxfId="4" priority="738" operator="lessThanOrEqual">
      <formula>I26</formula>
    </cfRule>
  </conditionalFormatting>
  <conditionalFormatting sqref="AL27">
    <cfRule type="cellIs" dxfId="4" priority="744" operator="lessThanOrEqual">
      <formula>I27</formula>
    </cfRule>
  </conditionalFormatting>
  <conditionalFormatting sqref="AL29">
    <cfRule type="cellIs" dxfId="4" priority="749" operator="lessThanOrEqual">
      <formula>I29</formula>
    </cfRule>
  </conditionalFormatting>
  <conditionalFormatting sqref="AL30">
    <cfRule type="cellIs" dxfId="4" priority="754" operator="lessThanOrEqual">
      <formula>I30</formula>
    </cfRule>
  </conditionalFormatting>
  <conditionalFormatting sqref="AL31">
    <cfRule type="cellIs" dxfId="4" priority="759" operator="lessThanOrEqual">
      <formula>I31</formula>
    </cfRule>
  </conditionalFormatting>
  <conditionalFormatting sqref="AL32">
    <cfRule type="cellIs" dxfId="4" priority="765" operator="lessThanOrEqual">
      <formula>I32</formula>
    </cfRule>
  </conditionalFormatting>
  <conditionalFormatting sqref="AL34">
    <cfRule type="cellIs" dxfId="4" priority="770" operator="lessThanOrEqual">
      <formula>I34</formula>
    </cfRule>
  </conditionalFormatting>
  <conditionalFormatting sqref="AL35">
    <cfRule type="cellIs" dxfId="4" priority="775" operator="lessThanOrEqual">
      <formula>I35</formula>
    </cfRule>
  </conditionalFormatting>
  <conditionalFormatting sqref="AL36">
    <cfRule type="cellIs" dxfId="4" priority="780" operator="lessThanOrEqual">
      <formula>I36</formula>
    </cfRule>
  </conditionalFormatting>
  <conditionalFormatting sqref="AL38">
    <cfRule type="cellIs" dxfId="4" priority="785" operator="lessThanOrEqual">
      <formula>I38</formula>
    </cfRule>
  </conditionalFormatting>
  <conditionalFormatting sqref="AL39">
    <cfRule type="cellIs" dxfId="4" priority="790" operator="lessThanOrEqual">
      <formula>I39</formula>
    </cfRule>
  </conditionalFormatting>
  <conditionalFormatting sqref="AL40">
    <cfRule type="cellIs" dxfId="4" priority="795" operator="lessThanOrEqual">
      <formula>I40</formula>
    </cfRule>
  </conditionalFormatting>
  <conditionalFormatting sqref="AL42">
    <cfRule type="cellIs" dxfId="4" priority="800" operator="lessThanOrEqual">
      <formula>I42</formula>
    </cfRule>
  </conditionalFormatting>
  <conditionalFormatting sqref="AL7">
    <cfRule type="cellIs" dxfId="4" priority="666" operator="lessThanOrEqual">
      <formula>I7</formula>
    </cfRule>
  </conditionalFormatting>
  <conditionalFormatting sqref="AL8">
    <cfRule type="cellIs" dxfId="4" priority="672" operator="lessThanOrEqual">
      <formula>I8</formula>
    </cfRule>
  </conditionalFormatting>
  <conditionalFormatting sqref="AL9">
    <cfRule type="cellIs" dxfId="4" priority="677" operator="lessThanOrEqual">
      <formula>I9</formula>
    </cfRule>
  </conditionalFormatting>
  <conditionalFormatting sqref="AM10">
    <cfRule type="cellIs" dxfId="4" priority="681" operator="lessThanOrEqual">
      <formula>J10</formula>
    </cfRule>
  </conditionalFormatting>
  <conditionalFormatting sqref="AM11">
    <cfRule type="cellIs" dxfId="4" priority="686" operator="lessThanOrEqual">
      <formula>J11</formula>
    </cfRule>
  </conditionalFormatting>
  <conditionalFormatting sqref="AM12">
    <cfRule type="cellIs" dxfId="4" priority="691" operator="lessThanOrEqual">
      <formula>J12</formula>
    </cfRule>
  </conditionalFormatting>
  <conditionalFormatting sqref="AM13">
    <cfRule type="cellIs" dxfId="4" priority="696" operator="lessThanOrEqual">
      <formula>J13</formula>
    </cfRule>
  </conditionalFormatting>
  <conditionalFormatting sqref="AM14">
    <cfRule type="cellIs" dxfId="4" priority="701" operator="lessThanOrEqual">
      <formula>J14</formula>
    </cfRule>
  </conditionalFormatting>
  <conditionalFormatting sqref="AM15">
    <cfRule type="cellIs" dxfId="4" priority="706" operator="lessThanOrEqual">
      <formula>J15</formula>
    </cfRule>
  </conditionalFormatting>
  <conditionalFormatting sqref="AM21">
    <cfRule type="cellIs" dxfId="4" priority="711" operator="lessThanOrEqual">
      <formula>J21</formula>
    </cfRule>
  </conditionalFormatting>
  <conditionalFormatting sqref="AM22">
    <cfRule type="cellIs" dxfId="4" priority="716" operator="lessThanOrEqual">
      <formula>J22</formula>
    </cfRule>
  </conditionalFormatting>
  <conditionalFormatting sqref="AM23">
    <cfRule type="cellIs" dxfId="4" priority="721" operator="lessThanOrEqual">
      <formula>J23</formula>
    </cfRule>
  </conditionalFormatting>
  <conditionalFormatting sqref="AM24">
    <cfRule type="cellIs" dxfId="4" priority="726" operator="lessThanOrEqual">
      <formula>J24</formula>
    </cfRule>
  </conditionalFormatting>
  <conditionalFormatting sqref="AM25">
    <cfRule type="cellIs" dxfId="4" priority="732" operator="lessThanOrEqual">
      <formula>J25</formula>
    </cfRule>
  </conditionalFormatting>
  <conditionalFormatting sqref="AM26">
    <cfRule type="cellIs" dxfId="4" priority="737" operator="lessThanOrEqual">
      <formula>J26</formula>
    </cfRule>
  </conditionalFormatting>
  <conditionalFormatting sqref="AM27">
    <cfRule type="cellIs" dxfId="4" priority="743" operator="lessThanOrEqual">
      <formula>J27</formula>
    </cfRule>
  </conditionalFormatting>
  <conditionalFormatting sqref="AM29">
    <cfRule type="cellIs" dxfId="4" priority="748" operator="lessThanOrEqual">
      <formula>J29</formula>
    </cfRule>
  </conditionalFormatting>
  <conditionalFormatting sqref="AM30">
    <cfRule type="cellIs" dxfId="4" priority="753" operator="lessThanOrEqual">
      <formula>J30</formula>
    </cfRule>
  </conditionalFormatting>
  <conditionalFormatting sqref="AM31">
    <cfRule type="cellIs" dxfId="4" priority="758" operator="lessThanOrEqual">
      <formula>J31</formula>
    </cfRule>
  </conditionalFormatting>
  <conditionalFormatting sqref="AM32">
    <cfRule type="cellIs" dxfId="4" priority="764" operator="lessThanOrEqual">
      <formula>J32</formula>
    </cfRule>
  </conditionalFormatting>
  <conditionalFormatting sqref="AM34">
    <cfRule type="cellIs" dxfId="4" priority="769" operator="lessThanOrEqual">
      <formula>J34</formula>
    </cfRule>
  </conditionalFormatting>
  <conditionalFormatting sqref="AM35">
    <cfRule type="cellIs" dxfId="4" priority="774" operator="lessThanOrEqual">
      <formula>J35</formula>
    </cfRule>
  </conditionalFormatting>
  <conditionalFormatting sqref="AM36">
    <cfRule type="cellIs" dxfId="4" priority="779" operator="lessThanOrEqual">
      <formula>J36</formula>
    </cfRule>
  </conditionalFormatting>
  <conditionalFormatting sqref="AM38">
    <cfRule type="cellIs" dxfId="4" priority="784" operator="lessThanOrEqual">
      <formula>J38</formula>
    </cfRule>
  </conditionalFormatting>
  <conditionalFormatting sqref="AM39">
    <cfRule type="cellIs" dxfId="4" priority="789" operator="lessThanOrEqual">
      <formula>J39</formula>
    </cfRule>
  </conditionalFormatting>
  <conditionalFormatting sqref="AM40">
    <cfRule type="cellIs" dxfId="4" priority="794" operator="lessThanOrEqual">
      <formula>J40</formula>
    </cfRule>
  </conditionalFormatting>
  <conditionalFormatting sqref="AM42">
    <cfRule type="cellIs" dxfId="4" priority="799" operator="lessThanOrEqual">
      <formula>J42</formula>
    </cfRule>
  </conditionalFormatting>
  <conditionalFormatting sqref="AM7">
    <cfRule type="cellIs" dxfId="4" priority="665" operator="lessThanOrEqual">
      <formula>J7</formula>
    </cfRule>
  </conditionalFormatting>
  <conditionalFormatting sqref="AM8">
    <cfRule type="cellIs" dxfId="4" priority="671" operator="lessThanOrEqual">
      <formula>J8</formula>
    </cfRule>
  </conditionalFormatting>
  <conditionalFormatting sqref="AM9">
    <cfRule type="cellIs" dxfId="4" priority="676" operator="lessThanOrEqual">
      <formula>J9</formula>
    </cfRule>
  </conditionalFormatting>
  <conditionalFormatting sqref="AO12">
    <cfRule type="cellIs" dxfId="1" priority="807" operator="equal">
      <formula>0</formula>
    </cfRule>
    <cfRule type="cellIs" dxfId="2" priority="808" operator="lessThan">
      <formula>H12</formula>
    </cfRule>
  </conditionalFormatting>
  <conditionalFormatting sqref="AO13">
    <cfRule type="cellIs" dxfId="1" priority="813" operator="equal">
      <formula>0</formula>
    </cfRule>
    <cfRule type="cellIs" dxfId="2" priority="814" operator="lessThan">
      <formula>H13</formula>
    </cfRule>
  </conditionalFormatting>
  <conditionalFormatting sqref="AO23">
    <cfRule type="cellIs" dxfId="1" priority="819" operator="equal">
      <formula>0</formula>
    </cfRule>
    <cfRule type="cellIs" dxfId="2" priority="820" operator="lessThan">
      <formula>H23</formula>
    </cfRule>
  </conditionalFormatting>
  <conditionalFormatting sqref="AO24">
    <cfRule type="cellIs" dxfId="1" priority="825" operator="equal">
      <formula>0</formula>
    </cfRule>
    <cfRule type="cellIs" dxfId="2" priority="826" operator="lessThan">
      <formula>H24</formula>
    </cfRule>
  </conditionalFormatting>
  <conditionalFormatting sqref="AO25">
    <cfRule type="cellIs" dxfId="1" priority="831" operator="equal">
      <formula>0</formula>
    </cfRule>
    <cfRule type="cellIs" dxfId="2" priority="832" operator="lessThan">
      <formula>H25</formula>
    </cfRule>
  </conditionalFormatting>
  <conditionalFormatting sqref="AO27">
    <cfRule type="cellIs" dxfId="1" priority="837" operator="equal">
      <formula>0</formula>
    </cfRule>
    <cfRule type="cellIs" dxfId="2" priority="838" operator="lessThan">
      <formula>H27</formula>
    </cfRule>
  </conditionalFormatting>
  <conditionalFormatting sqref="AO29">
    <cfRule type="cellIs" dxfId="1" priority="843" operator="equal">
      <formula>0</formula>
    </cfRule>
    <cfRule type="cellIs" dxfId="2" priority="844" operator="lessThan">
      <formula>H29</formula>
    </cfRule>
  </conditionalFormatting>
  <conditionalFormatting sqref="AO30">
    <cfRule type="cellIs" dxfId="1" priority="849" operator="equal">
      <formula>0</formula>
    </cfRule>
    <cfRule type="cellIs" dxfId="2" priority="850" operator="lessThan">
      <formula>H30</formula>
    </cfRule>
  </conditionalFormatting>
  <conditionalFormatting sqref="AO32">
    <cfRule type="cellIs" dxfId="1" priority="855" operator="equal">
      <formula>0</formula>
    </cfRule>
    <cfRule type="cellIs" dxfId="2" priority="856" operator="lessThan">
      <formula>H32</formula>
    </cfRule>
  </conditionalFormatting>
  <conditionalFormatting sqref="AO35">
    <cfRule type="cellIs" dxfId="1" priority="861" operator="equal">
      <formula>0</formula>
    </cfRule>
    <cfRule type="cellIs" dxfId="2" priority="862" operator="lessThan">
      <formula>H35</formula>
    </cfRule>
  </conditionalFormatting>
  <conditionalFormatting sqref="AO39">
    <cfRule type="cellIs" dxfId="1" priority="867" operator="equal">
      <formula>0</formula>
    </cfRule>
    <cfRule type="cellIs" dxfId="2" priority="868" operator="lessThan">
      <formula>H39</formula>
    </cfRule>
  </conditionalFormatting>
  <conditionalFormatting sqref="AO40">
    <cfRule type="cellIs" dxfId="1" priority="873" operator="equal">
      <formula>0</formula>
    </cfRule>
    <cfRule type="cellIs" dxfId="2" priority="874" operator="lessThan">
      <formula>H40</formula>
    </cfRule>
  </conditionalFormatting>
  <conditionalFormatting sqref="AO8">
    <cfRule type="cellIs" dxfId="1" priority="801" operator="equal">
      <formula>0</formula>
    </cfRule>
    <cfRule type="cellIs" dxfId="2" priority="802" operator="lessThan">
      <formula>H8</formula>
    </cfRule>
  </conditionalFormatting>
  <conditionalFormatting sqref="AP12">
    <cfRule type="expression" dxfId="3" priority="809">
      <formula>AND(AP12&gt;0,AP12&lt;1000)</formula>
    </cfRule>
    <cfRule type="cellIs" dxfId="1" priority="810" operator="greaterThan">
      <formula>AO12</formula>
    </cfRule>
  </conditionalFormatting>
  <conditionalFormatting sqref="AP13">
    <cfRule type="expression" dxfId="3" priority="815">
      <formula>AND(AP13&gt;0,AP13&lt;50)</formula>
    </cfRule>
    <cfRule type="cellIs" dxfId="1" priority="816" operator="greaterThan">
      <formula>AO13</formula>
    </cfRule>
  </conditionalFormatting>
  <conditionalFormatting sqref="AP23">
    <cfRule type="expression" dxfId="3" priority="821">
      <formula>AND(AP23&gt;0,AP23&lt;1000)</formula>
    </cfRule>
    <cfRule type="cellIs" dxfId="1" priority="822" operator="greaterThan">
      <formula>AO23</formula>
    </cfRule>
  </conditionalFormatting>
  <conditionalFormatting sqref="AP24">
    <cfRule type="expression" dxfId="3" priority="827">
      <formula>AND(AP24&gt;0,AP24&lt;1000)</formula>
    </cfRule>
    <cfRule type="cellIs" dxfId="1" priority="828" operator="greaterThan">
      <formula>AO24</formula>
    </cfRule>
  </conditionalFormatting>
  <conditionalFormatting sqref="AP25">
    <cfRule type="expression" dxfId="3" priority="833">
      <formula>AND(AP25&gt;0,AP25&lt;1000)</formula>
    </cfRule>
    <cfRule type="cellIs" dxfId="1" priority="834" operator="greaterThan">
      <formula>AO25</formula>
    </cfRule>
  </conditionalFormatting>
  <conditionalFormatting sqref="AP27">
    <cfRule type="expression" dxfId="3" priority="839">
      <formula>AND(AP27&gt;0,AP27&lt;1000)</formula>
    </cfRule>
    <cfRule type="cellIs" dxfId="1" priority="840" operator="greaterThan">
      <formula>AO27</formula>
    </cfRule>
  </conditionalFormatting>
  <conditionalFormatting sqref="AP29">
    <cfRule type="expression" dxfId="3" priority="845">
      <formula>AND(AP29&gt;0,AP29&lt;1000)</formula>
    </cfRule>
    <cfRule type="cellIs" dxfId="1" priority="846" operator="greaterThan">
      <formula>AO29</formula>
    </cfRule>
  </conditionalFormatting>
  <conditionalFormatting sqref="AP30">
    <cfRule type="expression" dxfId="3" priority="851">
      <formula>AND(AP30&gt;0,AP30&lt;1000)</formula>
    </cfRule>
    <cfRule type="cellIs" dxfId="1" priority="852" operator="greaterThan">
      <formula>AO30</formula>
    </cfRule>
  </conditionalFormatting>
  <conditionalFormatting sqref="AP32">
    <cfRule type="expression" dxfId="3" priority="857">
      <formula>AND(AP32&gt;0,AP32&lt;30)</formula>
    </cfRule>
    <cfRule type="cellIs" dxfId="1" priority="858" operator="greaterThan">
      <formula>AO32</formula>
    </cfRule>
  </conditionalFormatting>
  <conditionalFormatting sqref="AP35">
    <cfRule type="expression" dxfId="3" priority="863">
      <formula>AND(AP35&gt;0,AP35&lt;18)</formula>
    </cfRule>
    <cfRule type="cellIs" dxfId="1" priority="864" operator="greaterThan">
      <formula>AO35</formula>
    </cfRule>
  </conditionalFormatting>
  <conditionalFormatting sqref="AP39">
    <cfRule type="expression" dxfId="3" priority="869">
      <formula>AND(AP39&gt;0,AP39&lt;50)</formula>
    </cfRule>
    <cfRule type="cellIs" dxfId="1" priority="870" operator="greaterThan">
      <formula>AO39</formula>
    </cfRule>
  </conditionalFormatting>
  <conditionalFormatting sqref="AP40">
    <cfRule type="expression" dxfId="3" priority="875">
      <formula>AND(AP40&gt;0,AP40&lt;20)</formula>
    </cfRule>
    <cfRule type="cellIs" dxfId="1" priority="876" operator="greaterThan">
      <formula>AO40</formula>
    </cfRule>
  </conditionalFormatting>
  <conditionalFormatting sqref="AP8">
    <cfRule type="expression" dxfId="3" priority="803">
      <formula>AND(AP8&gt;0,AP8&lt;20)</formula>
    </cfRule>
    <cfRule type="cellIs" dxfId="1" priority="804" operator="greaterThan">
      <formula>AO8</formula>
    </cfRule>
  </conditionalFormatting>
  <conditionalFormatting sqref="AQ12">
    <cfRule type="cellIs" dxfId="4" priority="812" operator="lessThanOrEqual">
      <formula>I12</formula>
    </cfRule>
  </conditionalFormatting>
  <conditionalFormatting sqref="AQ13">
    <cfRule type="cellIs" dxfId="4" priority="818" operator="lessThanOrEqual">
      <formula>I13</formula>
    </cfRule>
  </conditionalFormatting>
  <conditionalFormatting sqref="AQ23">
    <cfRule type="cellIs" dxfId="4" priority="824" operator="lessThanOrEqual">
      <formula>I23</formula>
    </cfRule>
  </conditionalFormatting>
  <conditionalFormatting sqref="AQ24">
    <cfRule type="cellIs" dxfId="4" priority="830" operator="lessThanOrEqual">
      <formula>I24</formula>
    </cfRule>
  </conditionalFormatting>
  <conditionalFormatting sqref="AQ25">
    <cfRule type="cellIs" dxfId="4" priority="836" operator="lessThanOrEqual">
      <formula>I25</formula>
    </cfRule>
  </conditionalFormatting>
  <conditionalFormatting sqref="AQ27">
    <cfRule type="cellIs" dxfId="4" priority="842" operator="lessThanOrEqual">
      <formula>I27</formula>
    </cfRule>
  </conditionalFormatting>
  <conditionalFormatting sqref="AQ29">
    <cfRule type="cellIs" dxfId="4" priority="848" operator="lessThanOrEqual">
      <formula>I29</formula>
    </cfRule>
  </conditionalFormatting>
  <conditionalFormatting sqref="AQ30">
    <cfRule type="cellIs" dxfId="4" priority="854" operator="lessThanOrEqual">
      <formula>I30</formula>
    </cfRule>
  </conditionalFormatting>
  <conditionalFormatting sqref="AQ32">
    <cfRule type="cellIs" dxfId="4" priority="860" operator="lessThanOrEqual">
      <formula>I32</formula>
    </cfRule>
  </conditionalFormatting>
  <conditionalFormatting sqref="AQ35">
    <cfRule type="cellIs" dxfId="4" priority="866" operator="lessThanOrEqual">
      <formula>I35</formula>
    </cfRule>
  </conditionalFormatting>
  <conditionalFormatting sqref="AQ39">
    <cfRule type="cellIs" dxfId="4" priority="872" operator="lessThanOrEqual">
      <formula>I39</formula>
    </cfRule>
  </conditionalFormatting>
  <conditionalFormatting sqref="AQ40">
    <cfRule type="cellIs" dxfId="4" priority="878" operator="lessThanOrEqual">
      <formula>I40</formula>
    </cfRule>
  </conditionalFormatting>
  <conditionalFormatting sqref="AQ8">
    <cfRule type="cellIs" dxfId="4" priority="806" operator="lessThanOrEqual">
      <formula>I8</formula>
    </cfRule>
  </conditionalFormatting>
  <conditionalFormatting sqref="AR12">
    <cfRule type="cellIs" dxfId="4" priority="811" operator="lessThanOrEqual">
      <formula>J12</formula>
    </cfRule>
  </conditionalFormatting>
  <conditionalFormatting sqref="AR13">
    <cfRule type="cellIs" dxfId="4" priority="817" operator="lessThanOrEqual">
      <formula>J13</formula>
    </cfRule>
  </conditionalFormatting>
  <conditionalFormatting sqref="AR23">
    <cfRule type="cellIs" dxfId="4" priority="823" operator="lessThanOrEqual">
      <formula>J23</formula>
    </cfRule>
  </conditionalFormatting>
  <conditionalFormatting sqref="AR24">
    <cfRule type="cellIs" dxfId="4" priority="829" operator="lessThanOrEqual">
      <formula>J24</formula>
    </cfRule>
  </conditionalFormatting>
  <conditionalFormatting sqref="AR25">
    <cfRule type="cellIs" dxfId="4" priority="835" operator="lessThanOrEqual">
      <formula>J25</formula>
    </cfRule>
  </conditionalFormatting>
  <conditionalFormatting sqref="AR27">
    <cfRule type="cellIs" dxfId="4" priority="841" operator="lessThanOrEqual">
      <formula>J27</formula>
    </cfRule>
  </conditionalFormatting>
  <conditionalFormatting sqref="AR29">
    <cfRule type="cellIs" dxfId="4" priority="847" operator="lessThanOrEqual">
      <formula>J29</formula>
    </cfRule>
  </conditionalFormatting>
  <conditionalFormatting sqref="AR30">
    <cfRule type="cellIs" dxfId="4" priority="853" operator="lessThanOrEqual">
      <formula>J30</formula>
    </cfRule>
  </conditionalFormatting>
  <conditionalFormatting sqref="AR32">
    <cfRule type="cellIs" dxfId="4" priority="859" operator="lessThanOrEqual">
      <formula>J32</formula>
    </cfRule>
  </conditionalFormatting>
  <conditionalFormatting sqref="AR35">
    <cfRule type="cellIs" dxfId="4" priority="865" operator="lessThanOrEqual">
      <formula>J35</formula>
    </cfRule>
  </conditionalFormatting>
  <conditionalFormatting sqref="AR39">
    <cfRule type="cellIs" dxfId="4" priority="871" operator="lessThanOrEqual">
      <formula>J39</formula>
    </cfRule>
  </conditionalFormatting>
  <conditionalFormatting sqref="AR40">
    <cfRule type="cellIs" dxfId="4" priority="877" operator="lessThanOrEqual">
      <formula>J40</formula>
    </cfRule>
  </conditionalFormatting>
  <conditionalFormatting sqref="AR8">
    <cfRule type="cellIs" dxfId="4" priority="805" operator="lessThanOrEqual">
      <formula>J8</formula>
    </cfRule>
  </conditionalFormatting>
  <conditionalFormatting sqref="AT14">
    <cfRule type="cellIs" dxfId="1" priority="879" operator="equal">
      <formula>0</formula>
    </cfRule>
    <cfRule type="cellIs" dxfId="2" priority="880" operator="lessThan">
      <formula>H14</formula>
    </cfRule>
  </conditionalFormatting>
  <conditionalFormatting sqref="AT15">
    <cfRule type="cellIs" dxfId="1" priority="885" operator="equal">
      <formula>0</formula>
    </cfRule>
    <cfRule type="cellIs" dxfId="2" priority="886" operator="lessThan">
      <formula>H15</formula>
    </cfRule>
  </conditionalFormatting>
  <conditionalFormatting sqref="AT39">
    <cfRule type="cellIs" dxfId="1" priority="891" operator="equal">
      <formula>0</formula>
    </cfRule>
    <cfRule type="cellIs" dxfId="2" priority="892" operator="lessThan">
      <formula>H39</formula>
    </cfRule>
  </conditionalFormatting>
  <conditionalFormatting sqref="AT40">
    <cfRule type="cellIs" dxfId="1" priority="897" operator="equal">
      <formula>0</formula>
    </cfRule>
    <cfRule type="cellIs" dxfId="2" priority="898" operator="lessThan">
      <formula>H40</formula>
    </cfRule>
  </conditionalFormatting>
  <conditionalFormatting sqref="AU14">
    <cfRule type="expression" dxfId="3" priority="881">
      <formula>AND(AU14&gt;0,AU14&lt;5)</formula>
    </cfRule>
    <cfRule type="cellIs" dxfId="1" priority="882" operator="greaterThan">
      <formula>AT14</formula>
    </cfRule>
  </conditionalFormatting>
  <conditionalFormatting sqref="AU15">
    <cfRule type="expression" dxfId="3" priority="887">
      <formula>AND(AU15&gt;0,AU15&lt;5)</formula>
    </cfRule>
    <cfRule type="cellIs" dxfId="1" priority="888" operator="greaterThan">
      <formula>AT15</formula>
    </cfRule>
  </conditionalFormatting>
  <conditionalFormatting sqref="AU39">
    <cfRule type="expression" dxfId="3" priority="893">
      <formula>AND(AU39&gt;0,AU39&lt;5)</formula>
    </cfRule>
    <cfRule type="cellIs" dxfId="1" priority="894" operator="greaterThan">
      <formula>AT39</formula>
    </cfRule>
  </conditionalFormatting>
  <conditionalFormatting sqref="AU40">
    <cfRule type="cellIs" dxfId="1" priority="899" operator="greaterThan">
      <formula>AT40</formula>
    </cfRule>
  </conditionalFormatting>
  <conditionalFormatting sqref="AV14">
    <cfRule type="cellIs" dxfId="4" priority="884" operator="lessThanOrEqual">
      <formula>I14</formula>
    </cfRule>
  </conditionalFormatting>
  <conditionalFormatting sqref="AV15">
    <cfRule type="cellIs" dxfId="4" priority="890" operator="lessThanOrEqual">
      <formula>I15</formula>
    </cfRule>
  </conditionalFormatting>
  <conditionalFormatting sqref="AV39">
    <cfRule type="cellIs" dxfId="4" priority="896" operator="lessThanOrEqual">
      <formula>I39</formula>
    </cfRule>
  </conditionalFormatting>
  <conditionalFormatting sqref="AV40">
    <cfRule type="cellIs" dxfId="4" priority="901" operator="lessThanOrEqual">
      <formula>I40</formula>
    </cfRule>
  </conditionalFormatting>
  <conditionalFormatting sqref="AW14">
    <cfRule type="cellIs" dxfId="4" priority="883" operator="lessThanOrEqual">
      <formula>J14</formula>
    </cfRule>
  </conditionalFormatting>
  <conditionalFormatting sqref="AW15">
    <cfRule type="cellIs" dxfId="4" priority="889" operator="lessThanOrEqual">
      <formula>J15</formula>
    </cfRule>
  </conditionalFormatting>
  <conditionalFormatting sqref="AW39">
    <cfRule type="cellIs" dxfId="4" priority="895" operator="lessThanOrEqual">
      <formula>J39</formula>
    </cfRule>
  </conditionalFormatting>
  <conditionalFormatting sqref="AW40">
    <cfRule type="cellIs" dxfId="4" priority="900" operator="lessThanOrEqual">
      <formula>J40</formula>
    </cfRule>
  </conditionalFormatting>
  <conditionalFormatting sqref="H10">
    <cfRule type="expression" dxfId="0" priority="13">
      <formula>AND(ISBLANK(G10)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11">
    <cfRule type="expression" dxfId="0" priority="17">
      <formula>AND(ISBLANK(G11)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2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12">
    <cfRule type="expression" dxfId="0" priority="21">
      <formula>AND(ISBLANK(G12)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2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2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2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13">
    <cfRule type="expression" dxfId="0" priority="25">
      <formula>AND(ISBLANK(G13)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2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2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2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14">
    <cfRule type="expression" dxfId="0" priority="29">
      <formula>AND(ISBLANK(G14)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3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3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3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15">
    <cfRule type="expression" dxfId="0" priority="33">
      <formula>AND(ISBLANK(G15)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3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3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3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16">
    <cfRule type="expression" dxfId="0" priority="37">
      <formula>AND(ISBLANK(G16)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3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3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4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17">
    <cfRule type="expression" dxfId="0" priority="41">
      <formula>AND(ISBLANK(G17)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4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4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4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18">
    <cfRule type="expression" dxfId="0" priority="45">
      <formula>AND(ISBLANK(G18)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4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4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4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19">
    <cfRule type="expression" dxfId="0" priority="49">
      <formula>AND(ISBLANK(G19)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5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5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5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20">
    <cfRule type="expression" dxfId="0" priority="53">
      <formula>AND(ISBLANK(G20)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5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5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5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21">
    <cfRule type="expression" dxfId="0" priority="57">
      <formula>AND(ISBLANK(G21)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5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5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6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22">
    <cfRule type="expression" dxfId="0" priority="61">
      <formula>AND(ISBLANK(G22)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6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6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6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23">
    <cfRule type="expression" dxfId="0" priority="65">
      <formula>AND(ISBLANK(G23)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6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6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6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24">
    <cfRule type="expression" dxfId="0" priority="69">
      <formula>AND(ISBLANK(G24)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7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7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7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25">
    <cfRule type="expression" dxfId="0" priority="73">
      <formula>AND(ISBLANK(G25)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7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7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7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26">
    <cfRule type="expression" dxfId="0" priority="77">
      <formula>AND(ISBLANK(G26)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7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7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8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27">
    <cfRule type="expression" dxfId="0" priority="81">
      <formula>AND(ISBLANK(G27)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8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8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8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28">
    <cfRule type="expression" dxfId="0" priority="85">
      <formula>AND(ISBLANK(G28)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8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8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8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29">
    <cfRule type="expression" dxfId="0" priority="89">
      <formula>AND(ISBLANK(G29)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9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9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9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30">
    <cfRule type="expression" dxfId="0" priority="93">
      <formula>AND(ISBLANK(G30)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9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9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9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31">
    <cfRule type="expression" dxfId="0" priority="97">
      <formula>AND(ISBLANK(G31)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9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9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0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32">
    <cfRule type="expression" dxfId="0" priority="101">
      <formula>AND(ISBLANK(G32)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0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0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0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33">
    <cfRule type="expression" dxfId="0" priority="105">
      <formula>AND(ISBLANK(G33)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0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0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0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34">
    <cfRule type="expression" dxfId="0" priority="109">
      <formula>AND(ISBLANK(G34)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1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1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1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35">
    <cfRule type="expression" dxfId="0" priority="113">
      <formula>AND(ISBLANK(G35)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1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1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1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36">
    <cfRule type="expression" dxfId="0" priority="117">
      <formula>AND(ISBLANK(G36)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1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1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2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37">
    <cfRule type="expression" dxfId="0" priority="121">
      <formula>AND(ISBLANK(G37)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2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2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2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38">
    <cfRule type="expression" dxfId="0" priority="125">
      <formula>AND(ISBLANK(G38)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2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2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2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39">
    <cfRule type="expression" dxfId="0" priority="129">
      <formula>AND(ISBLANK(G39)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3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3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3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40">
    <cfRule type="expression" dxfId="0" priority="133">
      <formula>AND(ISBLANK(G40)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3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3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3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41">
    <cfRule type="expression" dxfId="0" priority="137">
      <formula>AND(ISBLANK(G41)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3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3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4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42">
    <cfRule type="expression" dxfId="0" priority="141">
      <formula>AND(ISBLANK(G42)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4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4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4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7">
    <cfRule type="expression" dxfId="0" priority="1">
      <formula>AND(ISBLANK(G7)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8">
    <cfRule type="expression" dxfId="0" priority="5">
      <formula>AND(ISBLANK(G8)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9">
    <cfRule type="expression" dxfId="0" priority="9">
      <formula>AND(ISBLANK(G9)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P10">
    <cfRule type="cellIs" dxfId="1" priority="160" operator="equal">
      <formula>0</formula>
    </cfRule>
    <cfRule type="cellIs" dxfId="2" priority="161" operator="lessThan">
      <formula>H10</formula>
    </cfRule>
  </conditionalFormatting>
  <conditionalFormatting sqref="P11">
    <cfRule type="cellIs" dxfId="1" priority="165" operator="equal">
      <formula>0</formula>
    </cfRule>
    <cfRule type="cellIs" dxfId="2" priority="166" operator="lessThan">
      <formula>H11</formula>
    </cfRule>
  </conditionalFormatting>
  <conditionalFormatting sqref="P12">
    <cfRule type="cellIs" dxfId="1" priority="170" operator="equal">
      <formula>0</formula>
    </cfRule>
    <cfRule type="cellIs" dxfId="2" priority="171" operator="lessThan">
      <formula>H12</formula>
    </cfRule>
  </conditionalFormatting>
  <conditionalFormatting sqref="P13">
    <cfRule type="cellIs" dxfId="1" priority="175" operator="equal">
      <formula>0</formula>
    </cfRule>
    <cfRule type="cellIs" dxfId="2" priority="176" operator="lessThan">
      <formula>H13</formula>
    </cfRule>
  </conditionalFormatting>
  <conditionalFormatting sqref="P14">
    <cfRule type="cellIs" dxfId="1" priority="180" operator="equal">
      <formula>0</formula>
    </cfRule>
    <cfRule type="cellIs" dxfId="2" priority="181" operator="lessThan">
      <formula>H14</formula>
    </cfRule>
  </conditionalFormatting>
  <conditionalFormatting sqref="P15">
    <cfRule type="cellIs" dxfId="1" priority="185" operator="equal">
      <formula>0</formula>
    </cfRule>
    <cfRule type="cellIs" dxfId="2" priority="186" operator="lessThan">
      <formula>H15</formula>
    </cfRule>
  </conditionalFormatting>
  <conditionalFormatting sqref="P21">
    <cfRule type="cellIs" dxfId="1" priority="190" operator="equal">
      <formula>0</formula>
    </cfRule>
    <cfRule type="cellIs" dxfId="2" priority="191" operator="lessThan">
      <formula>H21</formula>
    </cfRule>
  </conditionalFormatting>
  <conditionalFormatting sqref="P22">
    <cfRule type="cellIs" dxfId="1" priority="195" operator="equal">
      <formula>0</formula>
    </cfRule>
    <cfRule type="cellIs" dxfId="2" priority="196" operator="lessThan">
      <formula>H22</formula>
    </cfRule>
  </conditionalFormatting>
  <conditionalFormatting sqref="P23">
    <cfRule type="cellIs" dxfId="1" priority="200" operator="equal">
      <formula>0</formula>
    </cfRule>
    <cfRule type="cellIs" dxfId="2" priority="201" operator="lessThan">
      <formula>H23</formula>
    </cfRule>
  </conditionalFormatting>
  <conditionalFormatting sqref="P24">
    <cfRule type="cellIs" dxfId="1" priority="205" operator="equal">
      <formula>0</formula>
    </cfRule>
    <cfRule type="cellIs" dxfId="2" priority="206" operator="lessThan">
      <formula>H24</formula>
    </cfRule>
  </conditionalFormatting>
  <conditionalFormatting sqref="P25">
    <cfRule type="cellIs" dxfId="1" priority="210" operator="equal">
      <formula>0</formula>
    </cfRule>
    <cfRule type="cellIs" dxfId="2" priority="211" operator="lessThan">
      <formula>H25</formula>
    </cfRule>
  </conditionalFormatting>
  <conditionalFormatting sqref="P26">
    <cfRule type="cellIs" dxfId="1" priority="215" operator="equal">
      <formula>0</formula>
    </cfRule>
    <cfRule type="cellIs" dxfId="2" priority="216" operator="lessThan">
      <formula>H26</formula>
    </cfRule>
  </conditionalFormatting>
  <conditionalFormatting sqref="P27">
    <cfRule type="cellIs" dxfId="1" priority="220" operator="equal">
      <formula>0</formula>
    </cfRule>
    <cfRule type="cellIs" dxfId="2" priority="221" operator="lessThan">
      <formula>H27</formula>
    </cfRule>
  </conditionalFormatting>
  <conditionalFormatting sqref="P28">
    <cfRule type="cellIs" dxfId="1" priority="225" operator="equal">
      <formula>0</formula>
    </cfRule>
    <cfRule type="cellIs" dxfId="2" priority="226" operator="lessThan">
      <formula>H28</formula>
    </cfRule>
  </conditionalFormatting>
  <conditionalFormatting sqref="P29">
    <cfRule type="cellIs" dxfId="1" priority="230" operator="equal">
      <formula>0</formula>
    </cfRule>
    <cfRule type="cellIs" dxfId="2" priority="231" operator="lessThan">
      <formula>H29</formula>
    </cfRule>
  </conditionalFormatting>
  <conditionalFormatting sqref="P30">
    <cfRule type="cellIs" dxfId="1" priority="235" operator="equal">
      <formula>0</formula>
    </cfRule>
    <cfRule type="cellIs" dxfId="2" priority="236" operator="lessThan">
      <formula>H30</formula>
    </cfRule>
  </conditionalFormatting>
  <conditionalFormatting sqref="P31">
    <cfRule type="cellIs" dxfId="1" priority="240" operator="equal">
      <formula>0</formula>
    </cfRule>
    <cfRule type="cellIs" dxfId="2" priority="241" operator="lessThan">
      <formula>H31</formula>
    </cfRule>
  </conditionalFormatting>
  <conditionalFormatting sqref="P32">
    <cfRule type="cellIs" dxfId="1" priority="245" operator="equal">
      <formula>0</formula>
    </cfRule>
    <cfRule type="cellIs" dxfId="2" priority="246" operator="lessThan">
      <formula>H32</formula>
    </cfRule>
  </conditionalFormatting>
  <conditionalFormatting sqref="P33">
    <cfRule type="cellIs" dxfId="1" priority="250" operator="equal">
      <formula>0</formula>
    </cfRule>
    <cfRule type="cellIs" dxfId="2" priority="251" operator="lessThan">
      <formula>H33</formula>
    </cfRule>
  </conditionalFormatting>
  <conditionalFormatting sqref="P34">
    <cfRule type="cellIs" dxfId="1" priority="255" operator="equal">
      <formula>0</formula>
    </cfRule>
    <cfRule type="cellIs" dxfId="2" priority="256" operator="lessThan">
      <formula>H34</formula>
    </cfRule>
  </conditionalFormatting>
  <conditionalFormatting sqref="P35">
    <cfRule type="cellIs" dxfId="1" priority="260" operator="equal">
      <formula>0</formula>
    </cfRule>
    <cfRule type="cellIs" dxfId="2" priority="261" operator="lessThan">
      <formula>H35</formula>
    </cfRule>
  </conditionalFormatting>
  <conditionalFormatting sqref="P36">
    <cfRule type="cellIs" dxfId="1" priority="265" operator="equal">
      <formula>0</formula>
    </cfRule>
    <cfRule type="cellIs" dxfId="2" priority="266" operator="lessThan">
      <formula>H36</formula>
    </cfRule>
  </conditionalFormatting>
  <conditionalFormatting sqref="P37">
    <cfRule type="cellIs" dxfId="1" priority="270" operator="equal">
      <formula>0</formula>
    </cfRule>
    <cfRule type="cellIs" dxfId="2" priority="271" operator="lessThan">
      <formula>H37</formula>
    </cfRule>
  </conditionalFormatting>
  <conditionalFormatting sqref="P38">
    <cfRule type="cellIs" dxfId="1" priority="276" operator="equal">
      <formula>0</formula>
    </cfRule>
    <cfRule type="cellIs" dxfId="2" priority="277" operator="lessThan">
      <formula>H38</formula>
    </cfRule>
  </conditionalFormatting>
  <conditionalFormatting sqref="P39">
    <cfRule type="cellIs" dxfId="1" priority="281" operator="equal">
      <formula>0</formula>
    </cfRule>
    <cfRule type="cellIs" dxfId="2" priority="282" operator="lessThan">
      <formula>H39</formula>
    </cfRule>
  </conditionalFormatting>
  <conditionalFormatting sqref="P40">
    <cfRule type="cellIs" dxfId="1" priority="286" operator="equal">
      <formula>0</formula>
    </cfRule>
    <cfRule type="cellIs" dxfId="2" priority="287" operator="lessThan">
      <formula>H40</formula>
    </cfRule>
  </conditionalFormatting>
  <conditionalFormatting sqref="P42">
    <cfRule type="cellIs" dxfId="1" priority="291" operator="equal">
      <formula>0</formula>
    </cfRule>
    <cfRule type="cellIs" dxfId="2" priority="292" operator="lessThan">
      <formula>H42</formula>
    </cfRule>
  </conditionalFormatting>
  <conditionalFormatting sqref="P7">
    <cfRule type="cellIs" dxfId="1" priority="145" operator="equal">
      <formula>0</formula>
    </cfRule>
    <cfRule type="cellIs" dxfId="2" priority="146" operator="lessThan">
      <formula>H7</formula>
    </cfRule>
  </conditionalFormatting>
  <conditionalFormatting sqref="P8">
    <cfRule type="cellIs" dxfId="1" priority="150" operator="equal">
      <formula>0</formula>
    </cfRule>
    <cfRule type="cellIs" dxfId="2" priority="151" operator="lessThan">
      <formula>H8</formula>
    </cfRule>
  </conditionalFormatting>
  <conditionalFormatting sqref="P9">
    <cfRule type="cellIs" dxfId="1" priority="155" operator="equal">
      <formula>0</formula>
    </cfRule>
    <cfRule type="cellIs" dxfId="2" priority="156" operator="lessThan">
      <formula>H9</formula>
    </cfRule>
  </conditionalFormatting>
  <conditionalFormatting sqref="Q10">
    <cfRule type="cellIs" dxfId="1" priority="162" operator="greaterThan">
      <formula>P10</formula>
    </cfRule>
  </conditionalFormatting>
  <conditionalFormatting sqref="Q11">
    <cfRule type="cellIs" dxfId="1" priority="167" operator="greaterThan">
      <formula>P11</formula>
    </cfRule>
  </conditionalFormatting>
  <conditionalFormatting sqref="Q12">
    <cfRule type="cellIs" dxfId="1" priority="172" operator="greaterThan">
      <formula>P12</formula>
    </cfRule>
  </conditionalFormatting>
  <conditionalFormatting sqref="Q13">
    <cfRule type="cellIs" dxfId="1" priority="177" operator="greaterThan">
      <formula>P13</formula>
    </cfRule>
  </conditionalFormatting>
  <conditionalFormatting sqref="Q14">
    <cfRule type="cellIs" dxfId="1" priority="182" operator="greaterThan">
      <formula>P14</formula>
    </cfRule>
  </conditionalFormatting>
  <conditionalFormatting sqref="Q15">
    <cfRule type="cellIs" dxfId="1" priority="187" operator="greaterThan">
      <formula>P15</formula>
    </cfRule>
  </conditionalFormatting>
  <conditionalFormatting sqref="Q21">
    <cfRule type="cellIs" dxfId="1" priority="192" operator="greaterThan">
      <formula>P21</formula>
    </cfRule>
  </conditionalFormatting>
  <conditionalFormatting sqref="Q22">
    <cfRule type="cellIs" dxfId="1" priority="197" operator="greaterThan">
      <formula>P22</formula>
    </cfRule>
  </conditionalFormatting>
  <conditionalFormatting sqref="Q23">
    <cfRule type="cellIs" dxfId="1" priority="202" operator="greaterThan">
      <formula>P23</formula>
    </cfRule>
  </conditionalFormatting>
  <conditionalFormatting sqref="Q24">
    <cfRule type="cellIs" dxfId="1" priority="207" operator="greaterThan">
      <formula>P24</formula>
    </cfRule>
  </conditionalFormatting>
  <conditionalFormatting sqref="Q25">
    <cfRule type="cellIs" dxfId="1" priority="212" operator="greaterThan">
      <formula>P25</formula>
    </cfRule>
  </conditionalFormatting>
  <conditionalFormatting sqref="Q26">
    <cfRule type="cellIs" dxfId="1" priority="217" operator="greaterThan">
      <formula>P26</formula>
    </cfRule>
  </conditionalFormatting>
  <conditionalFormatting sqref="Q27">
    <cfRule type="cellIs" dxfId="1" priority="222" operator="greaterThan">
      <formula>P27</formula>
    </cfRule>
  </conditionalFormatting>
  <conditionalFormatting sqref="Q28">
    <cfRule type="cellIs" dxfId="1" priority="227" operator="greaterThan">
      <formula>P28</formula>
    </cfRule>
  </conditionalFormatting>
  <conditionalFormatting sqref="Q29">
    <cfRule type="cellIs" dxfId="1" priority="232" operator="greaterThan">
      <formula>P29</formula>
    </cfRule>
  </conditionalFormatting>
  <conditionalFormatting sqref="Q30">
    <cfRule type="cellIs" dxfId="1" priority="237" operator="greaterThan">
      <formula>P30</formula>
    </cfRule>
  </conditionalFormatting>
  <conditionalFormatting sqref="Q31">
    <cfRule type="cellIs" dxfId="1" priority="242" operator="greaterThan">
      <formula>P31</formula>
    </cfRule>
  </conditionalFormatting>
  <conditionalFormatting sqref="Q32">
    <cfRule type="cellIs" dxfId="1" priority="247" operator="greaterThan">
      <formula>P32</formula>
    </cfRule>
  </conditionalFormatting>
  <conditionalFormatting sqref="Q33">
    <cfRule type="cellIs" dxfId="1" priority="252" operator="greaterThan">
      <formula>P33</formula>
    </cfRule>
  </conditionalFormatting>
  <conditionalFormatting sqref="Q34">
    <cfRule type="cellIs" dxfId="1" priority="257" operator="greaterThan">
      <formula>P34</formula>
    </cfRule>
  </conditionalFormatting>
  <conditionalFormatting sqref="Q35">
    <cfRule type="cellIs" dxfId="1" priority="262" operator="greaterThan">
      <formula>P35</formula>
    </cfRule>
  </conditionalFormatting>
  <conditionalFormatting sqref="Q36">
    <cfRule type="cellIs" dxfId="1" priority="267" operator="greaterThan">
      <formula>P36</formula>
    </cfRule>
  </conditionalFormatting>
  <conditionalFormatting sqref="Q37">
    <cfRule type="expression" dxfId="3" priority="272">
      <formula>AND(Q37&gt;0,Q37&lt;2000)</formula>
    </cfRule>
    <cfRule type="cellIs" dxfId="1" priority="273" operator="greaterThan">
      <formula>P37</formula>
    </cfRule>
  </conditionalFormatting>
  <conditionalFormatting sqref="Q38">
    <cfRule type="cellIs" dxfId="1" priority="278" operator="greaterThan">
      <formula>P38</formula>
    </cfRule>
  </conditionalFormatting>
  <conditionalFormatting sqref="Q39">
    <cfRule type="cellIs" dxfId="1" priority="283" operator="greaterThan">
      <formula>P39</formula>
    </cfRule>
  </conditionalFormatting>
  <conditionalFormatting sqref="Q40">
    <cfRule type="cellIs" dxfId="1" priority="288" operator="greaterThan">
      <formula>P40</formula>
    </cfRule>
  </conditionalFormatting>
  <conditionalFormatting sqref="Q42">
    <cfRule type="cellIs" dxfId="1" priority="293" operator="greaterThan">
      <formula>P42</formula>
    </cfRule>
  </conditionalFormatting>
  <conditionalFormatting sqref="Q7">
    <cfRule type="cellIs" dxfId="1" priority="147" operator="greaterThan">
      <formula>P7</formula>
    </cfRule>
  </conditionalFormatting>
  <conditionalFormatting sqref="Q8">
    <cfRule type="cellIs" dxfId="1" priority="152" operator="greaterThan">
      <formula>P8</formula>
    </cfRule>
  </conditionalFormatting>
  <conditionalFormatting sqref="Q9">
    <cfRule type="cellIs" dxfId="1" priority="157" operator="greaterThan">
      <formula>P9</formula>
    </cfRule>
  </conditionalFormatting>
  <conditionalFormatting sqref="R10">
    <cfRule type="cellIs" dxfId="4" priority="164" operator="lessThanOrEqual">
      <formula>I10</formula>
    </cfRule>
  </conditionalFormatting>
  <conditionalFormatting sqref="R11">
    <cfRule type="cellIs" dxfId="4" priority="169" operator="lessThanOrEqual">
      <formula>I11</formula>
    </cfRule>
  </conditionalFormatting>
  <conditionalFormatting sqref="R12">
    <cfRule type="cellIs" dxfId="4" priority="174" operator="lessThanOrEqual">
      <formula>I12</formula>
    </cfRule>
  </conditionalFormatting>
  <conditionalFormatting sqref="R13">
    <cfRule type="cellIs" dxfId="4" priority="179" operator="lessThanOrEqual">
      <formula>I13</formula>
    </cfRule>
  </conditionalFormatting>
  <conditionalFormatting sqref="R14">
    <cfRule type="cellIs" dxfId="4" priority="184" operator="lessThanOrEqual">
      <formula>I14</formula>
    </cfRule>
  </conditionalFormatting>
  <conditionalFormatting sqref="R15">
    <cfRule type="cellIs" dxfId="4" priority="189" operator="lessThanOrEqual">
      <formula>I15</formula>
    </cfRule>
  </conditionalFormatting>
  <conditionalFormatting sqref="R21">
    <cfRule type="cellIs" dxfId="4" priority="194" operator="lessThanOrEqual">
      <formula>I21</formula>
    </cfRule>
  </conditionalFormatting>
  <conditionalFormatting sqref="R22">
    <cfRule type="cellIs" dxfId="4" priority="199" operator="lessThanOrEqual">
      <formula>I22</formula>
    </cfRule>
  </conditionalFormatting>
  <conditionalFormatting sqref="R23">
    <cfRule type="cellIs" dxfId="4" priority="204" operator="lessThanOrEqual">
      <formula>I23</formula>
    </cfRule>
  </conditionalFormatting>
  <conditionalFormatting sqref="R24">
    <cfRule type="cellIs" dxfId="4" priority="209" operator="lessThanOrEqual">
      <formula>I24</formula>
    </cfRule>
  </conditionalFormatting>
  <conditionalFormatting sqref="R25">
    <cfRule type="cellIs" dxfId="4" priority="214" operator="lessThanOrEqual">
      <formula>I25</formula>
    </cfRule>
  </conditionalFormatting>
  <conditionalFormatting sqref="R26">
    <cfRule type="cellIs" dxfId="4" priority="219" operator="lessThanOrEqual">
      <formula>I26</formula>
    </cfRule>
  </conditionalFormatting>
  <conditionalFormatting sqref="R27">
    <cfRule type="cellIs" dxfId="4" priority="224" operator="lessThanOrEqual">
      <formula>I27</formula>
    </cfRule>
  </conditionalFormatting>
  <conditionalFormatting sqref="R28">
    <cfRule type="cellIs" dxfId="4" priority="229" operator="lessThanOrEqual">
      <formula>I28</formula>
    </cfRule>
  </conditionalFormatting>
  <conditionalFormatting sqref="R29">
    <cfRule type="cellIs" dxfId="4" priority="234" operator="lessThanOrEqual">
      <formula>I29</formula>
    </cfRule>
  </conditionalFormatting>
  <conditionalFormatting sqref="R30">
    <cfRule type="cellIs" dxfId="4" priority="239" operator="lessThanOrEqual">
      <formula>I30</formula>
    </cfRule>
  </conditionalFormatting>
  <conditionalFormatting sqref="R31">
    <cfRule type="cellIs" dxfId="4" priority="244" operator="lessThanOrEqual">
      <formula>I31</formula>
    </cfRule>
  </conditionalFormatting>
  <conditionalFormatting sqref="R32">
    <cfRule type="cellIs" dxfId="4" priority="249" operator="lessThanOrEqual">
      <formula>I32</formula>
    </cfRule>
  </conditionalFormatting>
  <conditionalFormatting sqref="R33">
    <cfRule type="cellIs" dxfId="4" priority="254" operator="lessThanOrEqual">
      <formula>I33</formula>
    </cfRule>
  </conditionalFormatting>
  <conditionalFormatting sqref="R34">
    <cfRule type="cellIs" dxfId="4" priority="259" operator="lessThanOrEqual">
      <formula>I34</formula>
    </cfRule>
  </conditionalFormatting>
  <conditionalFormatting sqref="R35">
    <cfRule type="cellIs" dxfId="4" priority="264" operator="lessThanOrEqual">
      <formula>I35</formula>
    </cfRule>
  </conditionalFormatting>
  <conditionalFormatting sqref="R36">
    <cfRule type="cellIs" dxfId="4" priority="269" operator="lessThanOrEqual">
      <formula>I36</formula>
    </cfRule>
  </conditionalFormatting>
  <conditionalFormatting sqref="R37">
    <cfRule type="cellIs" dxfId="4" priority="275" operator="lessThanOrEqual">
      <formula>I37</formula>
    </cfRule>
  </conditionalFormatting>
  <conditionalFormatting sqref="R38">
    <cfRule type="cellIs" dxfId="4" priority="280" operator="lessThanOrEqual">
      <formula>I38</formula>
    </cfRule>
  </conditionalFormatting>
  <conditionalFormatting sqref="R39">
    <cfRule type="cellIs" dxfId="4" priority="285" operator="lessThanOrEqual">
      <formula>I39</formula>
    </cfRule>
  </conditionalFormatting>
  <conditionalFormatting sqref="R40">
    <cfRule type="cellIs" dxfId="4" priority="290" operator="lessThanOrEqual">
      <formula>I40</formula>
    </cfRule>
  </conditionalFormatting>
  <conditionalFormatting sqref="R42">
    <cfRule type="cellIs" dxfId="4" priority="295" operator="lessThanOrEqual">
      <formula>I42</formula>
    </cfRule>
  </conditionalFormatting>
  <conditionalFormatting sqref="R7">
    <cfRule type="cellIs" dxfId="4" priority="149" operator="lessThanOrEqual">
      <formula>I7</formula>
    </cfRule>
  </conditionalFormatting>
  <conditionalFormatting sqref="R8">
    <cfRule type="cellIs" dxfId="4" priority="154" operator="lessThanOrEqual">
      <formula>I8</formula>
    </cfRule>
  </conditionalFormatting>
  <conditionalFormatting sqref="R9">
    <cfRule type="cellIs" dxfId="4" priority="159" operator="lessThanOrEqual">
      <formula>I9</formula>
    </cfRule>
  </conditionalFormatting>
  <conditionalFormatting sqref="S10">
    <cfRule type="cellIs" dxfId="4" priority="163" operator="lessThanOrEqual">
      <formula>J10</formula>
    </cfRule>
  </conditionalFormatting>
  <conditionalFormatting sqref="S11">
    <cfRule type="cellIs" dxfId="4" priority="168" operator="lessThanOrEqual">
      <formula>J11</formula>
    </cfRule>
  </conditionalFormatting>
  <conditionalFormatting sqref="S12">
    <cfRule type="cellIs" dxfId="4" priority="173" operator="lessThanOrEqual">
      <formula>J12</formula>
    </cfRule>
  </conditionalFormatting>
  <conditionalFormatting sqref="S13">
    <cfRule type="cellIs" dxfId="4" priority="178" operator="lessThanOrEqual">
      <formula>J13</formula>
    </cfRule>
  </conditionalFormatting>
  <conditionalFormatting sqref="S14">
    <cfRule type="cellIs" dxfId="4" priority="183" operator="lessThanOrEqual">
      <formula>J14</formula>
    </cfRule>
  </conditionalFormatting>
  <conditionalFormatting sqref="S15">
    <cfRule type="cellIs" dxfId="4" priority="188" operator="lessThanOrEqual">
      <formula>J15</formula>
    </cfRule>
  </conditionalFormatting>
  <conditionalFormatting sqref="S21">
    <cfRule type="cellIs" dxfId="4" priority="193" operator="lessThanOrEqual">
      <formula>J21</formula>
    </cfRule>
  </conditionalFormatting>
  <conditionalFormatting sqref="S22">
    <cfRule type="cellIs" dxfId="4" priority="198" operator="lessThanOrEqual">
      <formula>J22</formula>
    </cfRule>
  </conditionalFormatting>
  <conditionalFormatting sqref="S23">
    <cfRule type="cellIs" dxfId="4" priority="203" operator="lessThanOrEqual">
      <formula>J23</formula>
    </cfRule>
  </conditionalFormatting>
  <conditionalFormatting sqref="S24">
    <cfRule type="cellIs" dxfId="4" priority="208" operator="lessThanOrEqual">
      <formula>J24</formula>
    </cfRule>
  </conditionalFormatting>
  <conditionalFormatting sqref="S25">
    <cfRule type="cellIs" dxfId="4" priority="213" operator="lessThanOrEqual">
      <formula>J25</formula>
    </cfRule>
  </conditionalFormatting>
  <conditionalFormatting sqref="S26">
    <cfRule type="cellIs" dxfId="4" priority="218" operator="lessThanOrEqual">
      <formula>J26</formula>
    </cfRule>
  </conditionalFormatting>
  <conditionalFormatting sqref="S27">
    <cfRule type="cellIs" dxfId="4" priority="223" operator="lessThanOrEqual">
      <formula>J27</formula>
    </cfRule>
  </conditionalFormatting>
  <conditionalFormatting sqref="S28">
    <cfRule type="cellIs" dxfId="4" priority="228" operator="lessThanOrEqual">
      <formula>J28</formula>
    </cfRule>
  </conditionalFormatting>
  <conditionalFormatting sqref="S29">
    <cfRule type="cellIs" dxfId="4" priority="233" operator="lessThanOrEqual">
      <formula>J29</formula>
    </cfRule>
  </conditionalFormatting>
  <conditionalFormatting sqref="S30">
    <cfRule type="cellIs" dxfId="4" priority="238" operator="lessThanOrEqual">
      <formula>J30</formula>
    </cfRule>
  </conditionalFormatting>
  <conditionalFormatting sqref="S31">
    <cfRule type="cellIs" dxfId="4" priority="243" operator="lessThanOrEqual">
      <formula>J31</formula>
    </cfRule>
  </conditionalFormatting>
  <conditionalFormatting sqref="S32">
    <cfRule type="cellIs" dxfId="4" priority="248" operator="lessThanOrEqual">
      <formula>J32</formula>
    </cfRule>
  </conditionalFormatting>
  <conditionalFormatting sqref="S33">
    <cfRule type="cellIs" dxfId="4" priority="253" operator="lessThanOrEqual">
      <formula>J33</formula>
    </cfRule>
  </conditionalFormatting>
  <conditionalFormatting sqref="S34">
    <cfRule type="cellIs" dxfId="4" priority="258" operator="lessThanOrEqual">
      <formula>J34</formula>
    </cfRule>
  </conditionalFormatting>
  <conditionalFormatting sqref="S35">
    <cfRule type="cellIs" dxfId="4" priority="263" operator="lessThanOrEqual">
      <formula>J35</formula>
    </cfRule>
  </conditionalFormatting>
  <conditionalFormatting sqref="S36">
    <cfRule type="cellIs" dxfId="4" priority="268" operator="lessThanOrEqual">
      <formula>J36</formula>
    </cfRule>
  </conditionalFormatting>
  <conditionalFormatting sqref="S37">
    <cfRule type="cellIs" dxfId="4" priority="274" operator="lessThanOrEqual">
      <formula>J37</formula>
    </cfRule>
  </conditionalFormatting>
  <conditionalFormatting sqref="S38">
    <cfRule type="cellIs" dxfId="4" priority="279" operator="lessThanOrEqual">
      <formula>J38</formula>
    </cfRule>
  </conditionalFormatting>
  <conditionalFormatting sqref="S39">
    <cfRule type="cellIs" dxfId="4" priority="284" operator="lessThanOrEqual">
      <formula>J39</formula>
    </cfRule>
  </conditionalFormatting>
  <conditionalFormatting sqref="S40">
    <cfRule type="cellIs" dxfId="4" priority="289" operator="lessThanOrEqual">
      <formula>J40</formula>
    </cfRule>
  </conditionalFormatting>
  <conditionalFormatting sqref="S42">
    <cfRule type="cellIs" dxfId="4" priority="294" operator="lessThanOrEqual">
      <formula>J42</formula>
    </cfRule>
  </conditionalFormatting>
  <conditionalFormatting sqref="S7">
    <cfRule type="cellIs" dxfId="4" priority="148" operator="lessThanOrEqual">
      <formula>J7</formula>
    </cfRule>
  </conditionalFormatting>
  <conditionalFormatting sqref="S8">
    <cfRule type="cellIs" dxfId="4" priority="153" operator="lessThanOrEqual">
      <formula>J8</formula>
    </cfRule>
  </conditionalFormatting>
  <conditionalFormatting sqref="S9">
    <cfRule type="cellIs" dxfId="4" priority="158" operator="lessThanOrEqual">
      <formula>J9</formula>
    </cfRule>
  </conditionalFormatting>
  <conditionalFormatting sqref="U10">
    <cfRule type="cellIs" dxfId="1" priority="314" operator="equal">
      <formula>0</formula>
    </cfRule>
    <cfRule type="cellIs" dxfId="2" priority="315" operator="lessThan">
      <formula>H10</formula>
    </cfRule>
  </conditionalFormatting>
  <conditionalFormatting sqref="U11">
    <cfRule type="cellIs" dxfId="1" priority="320" operator="equal">
      <formula>0</formula>
    </cfRule>
    <cfRule type="cellIs" dxfId="2" priority="321" operator="lessThan">
      <formula>H11</formula>
    </cfRule>
  </conditionalFormatting>
  <conditionalFormatting sqref="U12">
    <cfRule type="cellIs" dxfId="1" priority="326" operator="equal">
      <formula>0</formula>
    </cfRule>
    <cfRule type="cellIs" dxfId="2" priority="327" operator="lessThan">
      <formula>H12</formula>
    </cfRule>
  </conditionalFormatting>
  <conditionalFormatting sqref="U13">
    <cfRule type="cellIs" dxfId="1" priority="332" operator="equal">
      <formula>0</formula>
    </cfRule>
    <cfRule type="cellIs" dxfId="2" priority="333" operator="lessThan">
      <formula>H13</formula>
    </cfRule>
  </conditionalFormatting>
  <conditionalFormatting sqref="U14">
    <cfRule type="cellIs" dxfId="1" priority="338" operator="equal">
      <formula>0</formula>
    </cfRule>
    <cfRule type="cellIs" dxfId="2" priority="339" operator="lessThan">
      <formula>H14</formula>
    </cfRule>
  </conditionalFormatting>
  <conditionalFormatting sqref="U15">
    <cfRule type="cellIs" dxfId="1" priority="344" operator="equal">
      <formula>0</formula>
    </cfRule>
    <cfRule type="cellIs" dxfId="2" priority="345" operator="lessThan">
      <formula>H15</formula>
    </cfRule>
  </conditionalFormatting>
  <conditionalFormatting sqref="U21">
    <cfRule type="cellIs" dxfId="1" priority="349" operator="equal">
      <formula>0</formula>
    </cfRule>
    <cfRule type="cellIs" dxfId="2" priority="350" operator="lessThan">
      <formula>H21</formula>
    </cfRule>
  </conditionalFormatting>
  <conditionalFormatting sqref="U22">
    <cfRule type="cellIs" dxfId="1" priority="355" operator="equal">
      <formula>0</formula>
    </cfRule>
    <cfRule type="cellIs" dxfId="2" priority="356" operator="lessThan">
      <formula>H22</formula>
    </cfRule>
  </conditionalFormatting>
  <conditionalFormatting sqref="U23">
    <cfRule type="cellIs" dxfId="1" priority="361" operator="equal">
      <formula>0</formula>
    </cfRule>
    <cfRule type="cellIs" dxfId="2" priority="362" operator="lessThan">
      <formula>H23</formula>
    </cfRule>
  </conditionalFormatting>
  <conditionalFormatting sqref="U24">
    <cfRule type="cellIs" dxfId="1" priority="367" operator="equal">
      <formula>0</formula>
    </cfRule>
    <cfRule type="cellIs" dxfId="2" priority="368" operator="lessThan">
      <formula>H24</formula>
    </cfRule>
  </conditionalFormatting>
  <conditionalFormatting sqref="U25">
    <cfRule type="cellIs" dxfId="1" priority="373" operator="equal">
      <formula>0</formula>
    </cfRule>
    <cfRule type="cellIs" dxfId="2" priority="374" operator="lessThan">
      <formula>H25</formula>
    </cfRule>
  </conditionalFormatting>
  <conditionalFormatting sqref="U26">
    <cfRule type="cellIs" dxfId="1" priority="379" operator="equal">
      <formula>0</formula>
    </cfRule>
    <cfRule type="cellIs" dxfId="2" priority="380" operator="lessThan">
      <formula>H26</formula>
    </cfRule>
  </conditionalFormatting>
  <conditionalFormatting sqref="U27">
    <cfRule type="cellIs" dxfId="1" priority="385" operator="equal">
      <formula>0</formula>
    </cfRule>
    <cfRule type="cellIs" dxfId="2" priority="386" operator="lessThan">
      <formula>H27</formula>
    </cfRule>
  </conditionalFormatting>
  <conditionalFormatting sqref="U28">
    <cfRule type="cellIs" dxfId="1" priority="391" operator="equal">
      <formula>0</formula>
    </cfRule>
    <cfRule type="cellIs" dxfId="2" priority="392" operator="lessThan">
      <formula>H28</formula>
    </cfRule>
  </conditionalFormatting>
  <conditionalFormatting sqref="U29">
    <cfRule type="cellIs" dxfId="1" priority="397" operator="equal">
      <formula>0</formula>
    </cfRule>
    <cfRule type="cellIs" dxfId="2" priority="398" operator="lessThan">
      <formula>H29</formula>
    </cfRule>
  </conditionalFormatting>
  <conditionalFormatting sqref="U30">
    <cfRule type="cellIs" dxfId="1" priority="403" operator="equal">
      <formula>0</formula>
    </cfRule>
    <cfRule type="cellIs" dxfId="2" priority="404" operator="lessThan">
      <formula>H30</formula>
    </cfRule>
  </conditionalFormatting>
  <conditionalFormatting sqref="U31">
    <cfRule type="cellIs" dxfId="1" priority="409" operator="equal">
      <formula>0</formula>
    </cfRule>
    <cfRule type="cellIs" dxfId="2" priority="410" operator="lessThan">
      <formula>H31</formula>
    </cfRule>
  </conditionalFormatting>
  <conditionalFormatting sqref="U32">
    <cfRule type="cellIs" dxfId="1" priority="415" operator="equal">
      <formula>0</formula>
    </cfRule>
    <cfRule type="cellIs" dxfId="2" priority="416" operator="lessThan">
      <formula>H32</formula>
    </cfRule>
  </conditionalFormatting>
  <conditionalFormatting sqref="U34">
    <cfRule type="cellIs" dxfId="1" priority="421" operator="equal">
      <formula>0</formula>
    </cfRule>
    <cfRule type="cellIs" dxfId="2" priority="422" operator="lessThan">
      <formula>H34</formula>
    </cfRule>
  </conditionalFormatting>
  <conditionalFormatting sqref="U35">
    <cfRule type="cellIs" dxfId="1" priority="426" operator="equal">
      <formula>0</formula>
    </cfRule>
    <cfRule type="cellIs" dxfId="2" priority="427" operator="lessThan">
      <formula>H35</formula>
    </cfRule>
  </conditionalFormatting>
  <conditionalFormatting sqref="U36">
    <cfRule type="cellIs" dxfId="1" priority="432" operator="equal">
      <formula>0</formula>
    </cfRule>
    <cfRule type="cellIs" dxfId="2" priority="433" operator="lessThan">
      <formula>H36</formula>
    </cfRule>
  </conditionalFormatting>
  <conditionalFormatting sqref="U38">
    <cfRule type="cellIs" dxfId="1" priority="438" operator="equal">
      <formula>0</formula>
    </cfRule>
    <cfRule type="cellIs" dxfId="2" priority="439" operator="lessThan">
      <formula>H38</formula>
    </cfRule>
  </conditionalFormatting>
  <conditionalFormatting sqref="U39">
    <cfRule type="cellIs" dxfId="1" priority="443" operator="equal">
      <formula>0</formula>
    </cfRule>
    <cfRule type="cellIs" dxfId="2" priority="444" operator="lessThan">
      <formula>H39</formula>
    </cfRule>
  </conditionalFormatting>
  <conditionalFormatting sqref="U40">
    <cfRule type="cellIs" dxfId="1" priority="449" operator="equal">
      <formula>0</formula>
    </cfRule>
    <cfRule type="cellIs" dxfId="2" priority="450" operator="lessThan">
      <formula>H40</formula>
    </cfRule>
  </conditionalFormatting>
  <conditionalFormatting sqref="U42">
    <cfRule type="cellIs" dxfId="1" priority="454" operator="equal">
      <formula>0</formula>
    </cfRule>
    <cfRule type="cellIs" dxfId="2" priority="455" operator="lessThan">
      <formula>H42</formula>
    </cfRule>
  </conditionalFormatting>
  <conditionalFormatting sqref="U7">
    <cfRule type="cellIs" dxfId="1" priority="296" operator="equal">
      <formula>0</formula>
    </cfRule>
    <cfRule type="cellIs" dxfId="2" priority="297" operator="lessThan">
      <formula>H7</formula>
    </cfRule>
  </conditionalFormatting>
  <conditionalFormatting sqref="U8">
    <cfRule type="cellIs" dxfId="1" priority="302" operator="equal">
      <formula>0</formula>
    </cfRule>
    <cfRule type="cellIs" dxfId="2" priority="303" operator="lessThan">
      <formula>H8</formula>
    </cfRule>
  </conditionalFormatting>
  <conditionalFormatting sqref="U9">
    <cfRule type="cellIs" dxfId="1" priority="308" operator="equal">
      <formula>0</formula>
    </cfRule>
    <cfRule type="cellIs" dxfId="2" priority="309" operator="lessThan">
      <formula>H9</formula>
    </cfRule>
  </conditionalFormatting>
  <conditionalFormatting sqref="V10">
    <cfRule type="expression" dxfId="3" priority="316">
      <formula>AND(V10&gt;0,V10&lt;10)</formula>
    </cfRule>
    <cfRule type="cellIs" dxfId="1" priority="317" operator="greaterThan">
      <formula>U10</formula>
    </cfRule>
  </conditionalFormatting>
  <conditionalFormatting sqref="V11">
    <cfRule type="expression" dxfId="3" priority="322">
      <formula>AND(V11&gt;0,V11&lt;10)</formula>
    </cfRule>
    <cfRule type="cellIs" dxfId="1" priority="323" operator="greaterThan">
      <formula>U11</formula>
    </cfRule>
  </conditionalFormatting>
  <conditionalFormatting sqref="V12">
    <cfRule type="expression" dxfId="3" priority="328">
      <formula>AND(V12&gt;0,V12&lt;10)</formula>
    </cfRule>
    <cfRule type="cellIs" dxfId="1" priority="329" operator="greaterThan">
      <formula>U12</formula>
    </cfRule>
  </conditionalFormatting>
  <conditionalFormatting sqref="V13">
    <cfRule type="expression" dxfId="3" priority="334">
      <formula>AND(V13&gt;0,V13&lt;5)</formula>
    </cfRule>
    <cfRule type="cellIs" dxfId="1" priority="335" operator="greaterThan">
      <formula>U13</formula>
    </cfRule>
  </conditionalFormatting>
  <conditionalFormatting sqref="V14">
    <cfRule type="expression" dxfId="3" priority="340">
      <formula>AND(V14&gt;0,V14&lt;4000)</formula>
    </cfRule>
    <cfRule type="cellIs" dxfId="1" priority="341" operator="greaterThan">
      <formula>U14</formula>
    </cfRule>
  </conditionalFormatting>
  <conditionalFormatting sqref="V15">
    <cfRule type="cellIs" dxfId="1" priority="346" operator="greaterThan">
      <formula>U15</formula>
    </cfRule>
  </conditionalFormatting>
  <conditionalFormatting sqref="V21">
    <cfRule type="expression" dxfId="3" priority="351">
      <formula>AND(V21&gt;0,V21&lt;10)</formula>
    </cfRule>
    <cfRule type="cellIs" dxfId="1" priority="352" operator="greaterThan">
      <formula>U21</formula>
    </cfRule>
  </conditionalFormatting>
  <conditionalFormatting sqref="V22">
    <cfRule type="expression" dxfId="3" priority="357">
      <formula>AND(V22&gt;0,V22&lt;30000)</formula>
    </cfRule>
    <cfRule type="cellIs" dxfId="1" priority="358" operator="greaterThan">
      <formula>U22</formula>
    </cfRule>
  </conditionalFormatting>
  <conditionalFormatting sqref="V23">
    <cfRule type="expression" dxfId="3" priority="363">
      <formula>AND(V23&gt;0,V23&lt;30000)</formula>
    </cfRule>
    <cfRule type="cellIs" dxfId="1" priority="364" operator="greaterThan">
      <formula>U23</formula>
    </cfRule>
  </conditionalFormatting>
  <conditionalFormatting sqref="V24">
    <cfRule type="expression" dxfId="3" priority="369">
      <formula>AND(V24&gt;0,V24&lt;10)</formula>
    </cfRule>
    <cfRule type="cellIs" dxfId="1" priority="370" operator="greaterThan">
      <formula>U24</formula>
    </cfRule>
  </conditionalFormatting>
  <conditionalFormatting sqref="V25">
    <cfRule type="expression" dxfId="3" priority="375">
      <formula>AND(V25&gt;0,V25&lt;30000)</formula>
    </cfRule>
    <cfRule type="cellIs" dxfId="1" priority="376" operator="greaterThan">
      <formula>U25</formula>
    </cfRule>
  </conditionalFormatting>
  <conditionalFormatting sqref="V26">
    <cfRule type="expression" dxfId="3" priority="381">
      <formula>AND(V26&gt;0,V26&lt;30000)</formula>
    </cfRule>
    <cfRule type="cellIs" dxfId="1" priority="382" operator="greaterThan">
      <formula>U26</formula>
    </cfRule>
  </conditionalFormatting>
  <conditionalFormatting sqref="V27">
    <cfRule type="expression" dxfId="3" priority="387">
      <formula>AND(V27&gt;0,V27&lt;30000)</formula>
    </cfRule>
    <cfRule type="cellIs" dxfId="1" priority="388" operator="greaterThan">
      <formula>U27</formula>
    </cfRule>
  </conditionalFormatting>
  <conditionalFormatting sqref="V28">
    <cfRule type="expression" dxfId="3" priority="393">
      <formula>AND(V28&gt;0,V28&lt;30000)</formula>
    </cfRule>
    <cfRule type="cellIs" dxfId="1" priority="394" operator="greaterThan">
      <formula>U28</formula>
    </cfRule>
  </conditionalFormatting>
  <conditionalFormatting sqref="V29">
    <cfRule type="expression" dxfId="3" priority="399">
      <formula>AND(V29&gt;0,V29&lt;10)</formula>
    </cfRule>
    <cfRule type="cellIs" dxfId="1" priority="400" operator="greaterThan">
      <formula>U29</formula>
    </cfRule>
  </conditionalFormatting>
  <conditionalFormatting sqref="V30">
    <cfRule type="expression" dxfId="3" priority="405">
      <formula>AND(V30&gt;0,V30&lt;10)</formula>
    </cfRule>
    <cfRule type="cellIs" dxfId="1" priority="406" operator="greaterThan">
      <formula>U30</formula>
    </cfRule>
  </conditionalFormatting>
  <conditionalFormatting sqref="V31">
    <cfRule type="expression" dxfId="3" priority="411">
      <formula>AND(V31&gt;0,V31&lt;10)</formula>
    </cfRule>
    <cfRule type="cellIs" dxfId="1" priority="412" operator="greaterThan">
      <formula>U31</formula>
    </cfRule>
  </conditionalFormatting>
  <conditionalFormatting sqref="V32">
    <cfRule type="expression" dxfId="3" priority="417">
      <formula>AND(V32&gt;0,V32&lt;5)</formula>
    </cfRule>
    <cfRule type="cellIs" dxfId="1" priority="418" operator="greaterThan">
      <formula>U32</formula>
    </cfRule>
  </conditionalFormatting>
  <conditionalFormatting sqref="V34">
    <cfRule type="cellIs" dxfId="1" priority="423" operator="greaterThan">
      <formula>U34</formula>
    </cfRule>
  </conditionalFormatting>
  <conditionalFormatting sqref="V35">
    <cfRule type="expression" dxfId="3" priority="428">
      <formula>AND(V35&gt;0,V35&lt;5)</formula>
    </cfRule>
    <cfRule type="cellIs" dxfId="1" priority="429" operator="greaterThan">
      <formula>U35</formula>
    </cfRule>
  </conditionalFormatting>
  <conditionalFormatting sqref="V36">
    <cfRule type="expression" dxfId="3" priority="434">
      <formula>AND(V36&gt;0,V36&lt;5)</formula>
    </cfRule>
    <cfRule type="cellIs" dxfId="1" priority="435" operator="greaterThan">
      <formula>U36</formula>
    </cfRule>
  </conditionalFormatting>
  <conditionalFormatting sqref="V38">
    <cfRule type="cellIs" dxfId="1" priority="440" operator="greaterThan">
      <formula>U38</formula>
    </cfRule>
  </conditionalFormatting>
  <conditionalFormatting sqref="V39">
    <cfRule type="expression" dxfId="3" priority="445">
      <formula>AND(V39&gt;0,V39&lt;5)</formula>
    </cfRule>
    <cfRule type="cellIs" dxfId="1" priority="446" operator="greaterThan">
      <formula>U39</formula>
    </cfRule>
  </conditionalFormatting>
  <conditionalFormatting sqref="V40">
    <cfRule type="cellIs" dxfId="1" priority="451" operator="greaterThan">
      <formula>U40</formula>
    </cfRule>
  </conditionalFormatting>
  <conditionalFormatting sqref="V42">
    <cfRule type="expression" dxfId="3" priority="456">
      <formula>AND(V42&gt;0,V42&lt;5)</formula>
    </cfRule>
    <cfRule type="cellIs" dxfId="1" priority="457" operator="greaterThan">
      <formula>U42</formula>
    </cfRule>
  </conditionalFormatting>
  <conditionalFormatting sqref="V7">
    <cfRule type="expression" dxfId="3" priority="298">
      <formula>AND(V7&gt;0,V7&lt;10)</formula>
    </cfRule>
    <cfRule type="cellIs" dxfId="1" priority="299" operator="greaterThan">
      <formula>U7</formula>
    </cfRule>
  </conditionalFormatting>
  <conditionalFormatting sqref="V8">
    <cfRule type="expression" dxfId="3" priority="304">
      <formula>AND(V8&gt;0,V8&lt;10)</formula>
    </cfRule>
    <cfRule type="cellIs" dxfId="1" priority="305" operator="greaterThan">
      <formula>U8</formula>
    </cfRule>
  </conditionalFormatting>
  <conditionalFormatting sqref="V9">
    <cfRule type="expression" dxfId="3" priority="310">
      <formula>AND(V9&gt;0,V9&lt;10)</formula>
    </cfRule>
    <cfRule type="cellIs" dxfId="1" priority="311" operator="greaterThan">
      <formula>U9</formula>
    </cfRule>
  </conditionalFormatting>
  <conditionalFormatting sqref="W10">
    <cfRule type="cellIs" dxfId="4" priority="319" operator="lessThanOrEqual">
      <formula>I10</formula>
    </cfRule>
  </conditionalFormatting>
  <conditionalFormatting sqref="W11">
    <cfRule type="cellIs" dxfId="4" priority="325" operator="lessThanOrEqual">
      <formula>I11</formula>
    </cfRule>
  </conditionalFormatting>
  <conditionalFormatting sqref="W12">
    <cfRule type="cellIs" dxfId="4" priority="331" operator="lessThanOrEqual">
      <formula>I12</formula>
    </cfRule>
  </conditionalFormatting>
  <conditionalFormatting sqref="W13">
    <cfRule type="cellIs" dxfId="4" priority="337" operator="lessThanOrEqual">
      <formula>I13</formula>
    </cfRule>
  </conditionalFormatting>
  <conditionalFormatting sqref="W14">
    <cfRule type="cellIs" dxfId="4" priority="343" operator="lessThanOrEqual">
      <formula>I14</formula>
    </cfRule>
  </conditionalFormatting>
  <conditionalFormatting sqref="W15">
    <cfRule type="cellIs" dxfId="4" priority="348" operator="lessThanOrEqual">
      <formula>I15</formula>
    </cfRule>
  </conditionalFormatting>
  <conditionalFormatting sqref="W21">
    <cfRule type="cellIs" dxfId="4" priority="354" operator="lessThanOrEqual">
      <formula>I21</formula>
    </cfRule>
  </conditionalFormatting>
  <conditionalFormatting sqref="W22">
    <cfRule type="cellIs" dxfId="4" priority="360" operator="lessThanOrEqual">
      <formula>I22</formula>
    </cfRule>
  </conditionalFormatting>
  <conditionalFormatting sqref="W23">
    <cfRule type="cellIs" dxfId="4" priority="366" operator="lessThanOrEqual">
      <formula>I23</formula>
    </cfRule>
  </conditionalFormatting>
  <conditionalFormatting sqref="W24">
    <cfRule type="cellIs" dxfId="4" priority="372" operator="lessThanOrEqual">
      <formula>I24</formula>
    </cfRule>
  </conditionalFormatting>
  <conditionalFormatting sqref="W25">
    <cfRule type="cellIs" dxfId="4" priority="378" operator="lessThanOrEqual">
      <formula>I25</formula>
    </cfRule>
  </conditionalFormatting>
  <conditionalFormatting sqref="W26">
    <cfRule type="cellIs" dxfId="4" priority="384" operator="lessThanOrEqual">
      <formula>I26</formula>
    </cfRule>
  </conditionalFormatting>
  <conditionalFormatting sqref="W27">
    <cfRule type="cellIs" dxfId="4" priority="390" operator="lessThanOrEqual">
      <formula>I27</formula>
    </cfRule>
  </conditionalFormatting>
  <conditionalFormatting sqref="W28">
    <cfRule type="cellIs" dxfId="4" priority="396" operator="lessThanOrEqual">
      <formula>I28</formula>
    </cfRule>
  </conditionalFormatting>
  <conditionalFormatting sqref="W29">
    <cfRule type="cellIs" dxfId="4" priority="402" operator="lessThanOrEqual">
      <formula>I29</formula>
    </cfRule>
  </conditionalFormatting>
  <conditionalFormatting sqref="W30">
    <cfRule type="cellIs" dxfId="4" priority="408" operator="lessThanOrEqual">
      <formula>I30</formula>
    </cfRule>
  </conditionalFormatting>
  <conditionalFormatting sqref="W31">
    <cfRule type="cellIs" dxfId="4" priority="414" operator="lessThanOrEqual">
      <formula>I31</formula>
    </cfRule>
  </conditionalFormatting>
  <conditionalFormatting sqref="W32">
    <cfRule type="cellIs" dxfId="4" priority="420" operator="lessThanOrEqual">
      <formula>I32</formula>
    </cfRule>
  </conditionalFormatting>
  <conditionalFormatting sqref="W34">
    <cfRule type="cellIs" dxfId="4" priority="425" operator="lessThanOrEqual">
      <formula>I34</formula>
    </cfRule>
  </conditionalFormatting>
  <conditionalFormatting sqref="W35">
    <cfRule type="cellIs" dxfId="4" priority="431" operator="lessThanOrEqual">
      <formula>I35</formula>
    </cfRule>
  </conditionalFormatting>
  <conditionalFormatting sqref="W36">
    <cfRule type="cellIs" dxfId="4" priority="437" operator="lessThanOrEqual">
      <formula>I36</formula>
    </cfRule>
  </conditionalFormatting>
  <conditionalFormatting sqref="W38">
    <cfRule type="cellIs" dxfId="4" priority="442" operator="lessThanOrEqual">
      <formula>I38</formula>
    </cfRule>
  </conditionalFormatting>
  <conditionalFormatting sqref="W39">
    <cfRule type="cellIs" dxfId="4" priority="448" operator="lessThanOrEqual">
      <formula>I39</formula>
    </cfRule>
  </conditionalFormatting>
  <conditionalFormatting sqref="W40">
    <cfRule type="cellIs" dxfId="4" priority="453" operator="lessThanOrEqual">
      <formula>I40</formula>
    </cfRule>
  </conditionalFormatting>
  <conditionalFormatting sqref="W42">
    <cfRule type="cellIs" dxfId="4" priority="459" operator="lessThanOrEqual">
      <formula>I42</formula>
    </cfRule>
  </conditionalFormatting>
  <conditionalFormatting sqref="W7">
    <cfRule type="cellIs" dxfId="4" priority="301" operator="lessThanOrEqual">
      <formula>I7</formula>
    </cfRule>
  </conditionalFormatting>
  <conditionalFormatting sqref="W8">
    <cfRule type="cellIs" dxfId="4" priority="307" operator="lessThanOrEqual">
      <formula>I8</formula>
    </cfRule>
  </conditionalFormatting>
  <conditionalFormatting sqref="W9">
    <cfRule type="cellIs" dxfId="4" priority="313" operator="lessThanOrEqual">
      <formula>I9</formula>
    </cfRule>
  </conditionalFormatting>
  <conditionalFormatting sqref="X10">
    <cfRule type="cellIs" dxfId="4" priority="318" operator="lessThanOrEqual">
      <formula>J10</formula>
    </cfRule>
  </conditionalFormatting>
  <conditionalFormatting sqref="X11">
    <cfRule type="cellIs" dxfId="4" priority="324" operator="lessThanOrEqual">
      <formula>J11</formula>
    </cfRule>
  </conditionalFormatting>
  <conditionalFormatting sqref="X12">
    <cfRule type="cellIs" dxfId="4" priority="330" operator="lessThanOrEqual">
      <formula>J12</formula>
    </cfRule>
  </conditionalFormatting>
  <conditionalFormatting sqref="X13">
    <cfRule type="cellIs" dxfId="4" priority="336" operator="lessThanOrEqual">
      <formula>J13</formula>
    </cfRule>
  </conditionalFormatting>
  <conditionalFormatting sqref="X14">
    <cfRule type="cellIs" dxfId="4" priority="342" operator="lessThanOrEqual">
      <formula>J14</formula>
    </cfRule>
  </conditionalFormatting>
  <conditionalFormatting sqref="X15">
    <cfRule type="cellIs" dxfId="4" priority="347" operator="lessThanOrEqual">
      <formula>J15</formula>
    </cfRule>
  </conditionalFormatting>
  <conditionalFormatting sqref="X21">
    <cfRule type="cellIs" dxfId="4" priority="353" operator="lessThanOrEqual">
      <formula>J21</formula>
    </cfRule>
  </conditionalFormatting>
  <conditionalFormatting sqref="X22">
    <cfRule type="cellIs" dxfId="4" priority="359" operator="lessThanOrEqual">
      <formula>J22</formula>
    </cfRule>
  </conditionalFormatting>
  <conditionalFormatting sqref="X23">
    <cfRule type="cellIs" dxfId="4" priority="365" operator="lessThanOrEqual">
      <formula>J23</formula>
    </cfRule>
  </conditionalFormatting>
  <conditionalFormatting sqref="X24">
    <cfRule type="cellIs" dxfId="4" priority="371" operator="lessThanOrEqual">
      <formula>J24</formula>
    </cfRule>
  </conditionalFormatting>
  <conditionalFormatting sqref="X25">
    <cfRule type="cellIs" dxfId="4" priority="377" operator="lessThanOrEqual">
      <formula>J25</formula>
    </cfRule>
  </conditionalFormatting>
  <conditionalFormatting sqref="X26">
    <cfRule type="cellIs" dxfId="4" priority="383" operator="lessThanOrEqual">
      <formula>J26</formula>
    </cfRule>
  </conditionalFormatting>
  <conditionalFormatting sqref="X27">
    <cfRule type="cellIs" dxfId="4" priority="389" operator="lessThanOrEqual">
      <formula>J27</formula>
    </cfRule>
  </conditionalFormatting>
  <conditionalFormatting sqref="X28">
    <cfRule type="cellIs" dxfId="4" priority="395" operator="lessThanOrEqual">
      <formula>J28</formula>
    </cfRule>
  </conditionalFormatting>
  <conditionalFormatting sqref="X29">
    <cfRule type="cellIs" dxfId="4" priority="401" operator="lessThanOrEqual">
      <formula>J29</formula>
    </cfRule>
  </conditionalFormatting>
  <conditionalFormatting sqref="X30">
    <cfRule type="cellIs" dxfId="4" priority="407" operator="lessThanOrEqual">
      <formula>J30</formula>
    </cfRule>
  </conditionalFormatting>
  <conditionalFormatting sqref="X31">
    <cfRule type="cellIs" dxfId="4" priority="413" operator="lessThanOrEqual">
      <formula>J31</formula>
    </cfRule>
  </conditionalFormatting>
  <conditionalFormatting sqref="X32">
    <cfRule type="cellIs" dxfId="4" priority="419" operator="lessThanOrEqual">
      <formula>J32</formula>
    </cfRule>
  </conditionalFormatting>
  <conditionalFormatting sqref="X34">
    <cfRule type="cellIs" dxfId="4" priority="424" operator="lessThanOrEqual">
      <formula>J34</formula>
    </cfRule>
  </conditionalFormatting>
  <conditionalFormatting sqref="X35">
    <cfRule type="cellIs" dxfId="4" priority="430" operator="lessThanOrEqual">
      <formula>J35</formula>
    </cfRule>
  </conditionalFormatting>
  <conditionalFormatting sqref="X36">
    <cfRule type="cellIs" dxfId="4" priority="436" operator="lessThanOrEqual">
      <formula>J36</formula>
    </cfRule>
  </conditionalFormatting>
  <conditionalFormatting sqref="X38">
    <cfRule type="cellIs" dxfId="4" priority="441" operator="lessThanOrEqual">
      <formula>J38</formula>
    </cfRule>
  </conditionalFormatting>
  <conditionalFormatting sqref="X39">
    <cfRule type="cellIs" dxfId="4" priority="447" operator="lessThanOrEqual">
      <formula>J39</formula>
    </cfRule>
  </conditionalFormatting>
  <conditionalFormatting sqref="X40">
    <cfRule type="cellIs" dxfId="4" priority="452" operator="lessThanOrEqual">
      <formula>J40</formula>
    </cfRule>
  </conditionalFormatting>
  <conditionalFormatting sqref="X42">
    <cfRule type="cellIs" dxfId="4" priority="458" operator="lessThanOrEqual">
      <formula>J42</formula>
    </cfRule>
  </conditionalFormatting>
  <conditionalFormatting sqref="X7">
    <cfRule type="cellIs" dxfId="4" priority="300" operator="lessThanOrEqual">
      <formula>J7</formula>
    </cfRule>
  </conditionalFormatting>
  <conditionalFormatting sqref="X8">
    <cfRule type="cellIs" dxfId="4" priority="306" operator="lessThanOrEqual">
      <formula>J8</formula>
    </cfRule>
  </conditionalFormatting>
  <conditionalFormatting sqref="X9">
    <cfRule type="cellIs" dxfId="4" priority="312" operator="lessThanOrEqual">
      <formula>J9</formula>
    </cfRule>
  </conditionalFormatting>
  <conditionalFormatting sqref="Z10">
    <cfRule type="cellIs" dxfId="1" priority="466" operator="equal">
      <formula>0</formula>
    </cfRule>
    <cfRule type="cellIs" dxfId="2" priority="467" operator="lessThan">
      <formula>H10</formula>
    </cfRule>
  </conditionalFormatting>
  <conditionalFormatting sqref="Z12">
    <cfRule type="cellIs" dxfId="1" priority="472" operator="equal">
      <formula>0</formula>
    </cfRule>
    <cfRule type="cellIs" dxfId="2" priority="473" operator="lessThan">
      <formula>H12</formula>
    </cfRule>
  </conditionalFormatting>
  <conditionalFormatting sqref="Z20">
    <cfRule type="cellIs" dxfId="1" priority="478" operator="equal">
      <formula>0</formula>
    </cfRule>
    <cfRule type="cellIs" dxfId="2" priority="479" operator="lessThan">
      <formula>H20</formula>
    </cfRule>
  </conditionalFormatting>
  <conditionalFormatting sqref="Z21">
    <cfRule type="cellIs" dxfId="1" priority="483" operator="equal">
      <formula>0</formula>
    </cfRule>
    <cfRule type="cellIs" dxfId="2" priority="484" operator="lessThan">
      <formula>H21</formula>
    </cfRule>
  </conditionalFormatting>
  <conditionalFormatting sqref="Z23">
    <cfRule type="cellIs" dxfId="1" priority="489" operator="equal">
      <formula>0</formula>
    </cfRule>
    <cfRule type="cellIs" dxfId="2" priority="490" operator="lessThan">
      <formula>H23</formula>
    </cfRule>
  </conditionalFormatting>
  <conditionalFormatting sqref="Z29">
    <cfRule type="cellIs" dxfId="1" priority="495" operator="equal">
      <formula>0</formula>
    </cfRule>
    <cfRule type="cellIs" dxfId="2" priority="496" operator="lessThan">
      <formula>H29</formula>
    </cfRule>
  </conditionalFormatting>
  <conditionalFormatting sqref="Z30">
    <cfRule type="cellIs" dxfId="1" priority="501" operator="equal">
      <formula>0</formula>
    </cfRule>
    <cfRule type="cellIs" dxfId="2" priority="502" operator="lessThan">
      <formula>H30</formula>
    </cfRule>
  </conditionalFormatting>
  <conditionalFormatting sqref="Z36">
    <cfRule type="cellIs" dxfId="1" priority="507" operator="equal">
      <formula>0</formula>
    </cfRule>
    <cfRule type="cellIs" dxfId="2" priority="508" operator="lessThan">
      <formula>H36</formula>
    </cfRule>
  </conditionalFormatting>
  <conditionalFormatting sqref="Z37">
    <cfRule type="cellIs" dxfId="1" priority="512" operator="equal">
      <formula>0</formula>
    </cfRule>
    <cfRule type="cellIs" dxfId="2" priority="513" operator="lessThan">
      <formula>H37</formula>
    </cfRule>
  </conditionalFormatting>
  <conditionalFormatting sqref="Z7">
    <cfRule type="cellIs" dxfId="1" priority="460" operator="equal">
      <formula>0</formula>
    </cfRule>
    <cfRule type="cellIs" dxfId="2" priority="461" operator="lessThan">
      <formula>H7</formula>
    </cfRule>
  </conditionalFormatting>
  <hyperlinks>
    <hyperlink ref="G7" r:id="rId1"/>
    <hyperlink ref="T7" r:id="rId2"/>
    <hyperlink ref="Y7" r:id="rId3"/>
    <hyperlink ref="AD7" r:id="rId4"/>
    <hyperlink ref="AI7" r:id="rId5"/>
    <hyperlink ref="AN7" r:id="rId6"/>
    <hyperlink ref="G8" r:id="rId7"/>
    <hyperlink ref="T8" r:id="rId8"/>
    <hyperlink ref="Y8" r:id="rId9"/>
    <hyperlink ref="AI8" r:id="rId10"/>
    <hyperlink ref="AN8" r:id="rId11"/>
    <hyperlink ref="AS8" r:id="rId12"/>
    <hyperlink ref="G9" r:id="rId13"/>
    <hyperlink ref="T9" r:id="rId14"/>
    <hyperlink ref="Y9" r:id="rId15"/>
    <hyperlink ref="AI9" r:id="rId16"/>
    <hyperlink ref="AN9" r:id="rId17"/>
    <hyperlink ref="G10" r:id="rId18"/>
    <hyperlink ref="T10" r:id="rId19"/>
    <hyperlink ref="Y10" r:id="rId20"/>
    <hyperlink ref="AD10" r:id="rId21"/>
    <hyperlink ref="AI10" r:id="rId22"/>
    <hyperlink ref="AN10" r:id="rId23"/>
    <hyperlink ref="G11" r:id="rId24"/>
    <hyperlink ref="T11" r:id="rId25"/>
    <hyperlink ref="Y11" r:id="rId26"/>
    <hyperlink ref="AI11" r:id="rId27"/>
    <hyperlink ref="AN11" r:id="rId28"/>
    <hyperlink ref="G12" r:id="rId29"/>
    <hyperlink ref="T12" r:id="rId30"/>
    <hyperlink ref="Y12" r:id="rId31"/>
    <hyperlink ref="AD12" r:id="rId32"/>
    <hyperlink ref="AI12" r:id="rId33"/>
    <hyperlink ref="AN12" r:id="rId34"/>
    <hyperlink ref="AS12" r:id="rId35"/>
    <hyperlink ref="G13" r:id="rId36"/>
    <hyperlink ref="T13" r:id="rId37"/>
    <hyperlink ref="Y13" r:id="rId38"/>
    <hyperlink ref="AI13" r:id="rId39"/>
    <hyperlink ref="AN13" r:id="rId40"/>
    <hyperlink ref="AS13" r:id="rId41"/>
    <hyperlink ref="G14" r:id="rId42"/>
    <hyperlink ref="T14" r:id="rId43"/>
    <hyperlink ref="Y14" r:id="rId44"/>
    <hyperlink ref="AI14" r:id="rId45"/>
    <hyperlink ref="AN14" r:id="rId46"/>
    <hyperlink ref="AX14" r:id="rId47"/>
    <hyperlink ref="G15" r:id="rId48"/>
    <hyperlink ref="T15" r:id="rId49"/>
    <hyperlink ref="Y15" r:id="rId50"/>
    <hyperlink ref="AI15" r:id="rId51"/>
    <hyperlink ref="AN15" r:id="rId52"/>
    <hyperlink ref="AX15" r:id="rId53"/>
    <hyperlink ref="G20" r:id="rId54"/>
    <hyperlink ref="AD20" r:id="rId55"/>
    <hyperlink ref="G21" r:id="rId56"/>
    <hyperlink ref="T21" r:id="rId57"/>
    <hyperlink ref="Y21" r:id="rId58"/>
    <hyperlink ref="AD21" r:id="rId59"/>
    <hyperlink ref="AI21" r:id="rId60"/>
    <hyperlink ref="AN21" r:id="rId61"/>
    <hyperlink ref="G22" r:id="rId62"/>
    <hyperlink ref="T22" r:id="rId63"/>
    <hyperlink ref="Y22" r:id="rId64"/>
    <hyperlink ref="AI22" r:id="rId65"/>
    <hyperlink ref="AN22" r:id="rId66"/>
    <hyperlink ref="G23" r:id="rId67"/>
    <hyperlink ref="T23" r:id="rId68"/>
    <hyperlink ref="Y23" r:id="rId69"/>
    <hyperlink ref="AD23" r:id="rId70"/>
    <hyperlink ref="AI23" r:id="rId71"/>
    <hyperlink ref="AN23" r:id="rId72"/>
    <hyperlink ref="AS23" r:id="rId73"/>
    <hyperlink ref="G24" r:id="rId74"/>
    <hyperlink ref="T24" r:id="rId75"/>
    <hyperlink ref="Y24" r:id="rId76"/>
    <hyperlink ref="AI24" r:id="rId77"/>
    <hyperlink ref="AN24" r:id="rId78"/>
    <hyperlink ref="AS24" r:id="rId79"/>
    <hyperlink ref="G25" r:id="rId80"/>
    <hyperlink ref="T25" r:id="rId81"/>
    <hyperlink ref="Y25" r:id="rId82"/>
    <hyperlink ref="AI25" r:id="rId83"/>
    <hyperlink ref="AN25" r:id="rId84"/>
    <hyperlink ref="AS25" r:id="rId85"/>
    <hyperlink ref="G26" r:id="rId86"/>
    <hyperlink ref="T26" r:id="rId87"/>
    <hyperlink ref="Y26" r:id="rId88"/>
    <hyperlink ref="AI26" r:id="rId89"/>
    <hyperlink ref="AN26" r:id="rId90"/>
    <hyperlink ref="G27" r:id="rId91"/>
    <hyperlink ref="T27" r:id="rId92"/>
    <hyperlink ref="Y27" r:id="rId93"/>
    <hyperlink ref="AI27" r:id="rId94"/>
    <hyperlink ref="AN27" r:id="rId95"/>
    <hyperlink ref="AS27" r:id="rId96"/>
    <hyperlink ref="G28" r:id="rId97"/>
    <hyperlink ref="T28" r:id="rId98"/>
    <hyperlink ref="Y28" r:id="rId99"/>
    <hyperlink ref="AI28" r:id="rId100"/>
    <hyperlink ref="G29" r:id="rId101"/>
    <hyperlink ref="T29" r:id="rId102"/>
    <hyperlink ref="Y29" r:id="rId103"/>
    <hyperlink ref="AD29" r:id="rId104"/>
    <hyperlink ref="AI29" r:id="rId105"/>
    <hyperlink ref="AN29" r:id="rId106"/>
    <hyperlink ref="AS29" r:id="rId107"/>
    <hyperlink ref="G30" r:id="rId108"/>
    <hyperlink ref="T30" r:id="rId109"/>
    <hyperlink ref="Y30" r:id="rId110"/>
    <hyperlink ref="AD30" r:id="rId111"/>
    <hyperlink ref="AI30" r:id="rId112"/>
    <hyperlink ref="AN30" r:id="rId113"/>
    <hyperlink ref="AS30" r:id="rId114"/>
    <hyperlink ref="G31" r:id="rId115"/>
    <hyperlink ref="T31" r:id="rId116"/>
    <hyperlink ref="Y31" r:id="rId117"/>
    <hyperlink ref="AI31" r:id="rId118"/>
    <hyperlink ref="AN31" r:id="rId119"/>
    <hyperlink ref="G32" r:id="rId120"/>
    <hyperlink ref="T32" r:id="rId121"/>
    <hyperlink ref="Y32" r:id="rId122"/>
    <hyperlink ref="AI32" r:id="rId123"/>
    <hyperlink ref="AN32" r:id="rId124"/>
    <hyperlink ref="AS32" r:id="rId125"/>
    <hyperlink ref="G33" r:id="rId126"/>
    <hyperlink ref="T33" r:id="rId127"/>
    <hyperlink ref="G34" r:id="rId128"/>
    <hyperlink ref="T34" r:id="rId129"/>
    <hyperlink ref="Y34" r:id="rId130"/>
    <hyperlink ref="AI34" r:id="rId131"/>
    <hyperlink ref="AN34" r:id="rId132"/>
    <hyperlink ref="G35" r:id="rId133"/>
    <hyperlink ref="T35" r:id="rId134"/>
    <hyperlink ref="Y35" r:id="rId135"/>
    <hyperlink ref="AI35" r:id="rId136"/>
    <hyperlink ref="AN35" r:id="rId137"/>
    <hyperlink ref="AS35" r:id="rId138"/>
    <hyperlink ref="G36" r:id="rId139"/>
    <hyperlink ref="T36" r:id="rId140"/>
    <hyperlink ref="Y36" r:id="rId141"/>
    <hyperlink ref="AD36" r:id="rId142"/>
    <hyperlink ref="AI36" r:id="rId143"/>
    <hyperlink ref="AN36" r:id="rId144"/>
    <hyperlink ref="G37" r:id="rId145"/>
    <hyperlink ref="T37" r:id="rId146"/>
    <hyperlink ref="AD37" r:id="rId147"/>
    <hyperlink ref="AI37" r:id="rId148"/>
    <hyperlink ref="G38" r:id="rId149"/>
    <hyperlink ref="T38" r:id="rId150"/>
    <hyperlink ref="Y38" r:id="rId151"/>
    <hyperlink ref="AI38" r:id="rId152"/>
    <hyperlink ref="AN38" r:id="rId153"/>
    <hyperlink ref="G39" r:id="rId154"/>
    <hyperlink ref="T39" r:id="rId155"/>
    <hyperlink ref="Y39" r:id="rId156"/>
    <hyperlink ref="AI39" r:id="rId157"/>
    <hyperlink ref="AN39" r:id="rId158"/>
    <hyperlink ref="AS39" r:id="rId159"/>
    <hyperlink ref="AX39" r:id="rId160"/>
    <hyperlink ref="G40" r:id="rId161"/>
    <hyperlink ref="T40" r:id="rId162"/>
    <hyperlink ref="Y40" r:id="rId163"/>
    <hyperlink ref="AI40" r:id="rId164"/>
    <hyperlink ref="AN40" r:id="rId165"/>
    <hyperlink ref="AS40" r:id="rId166"/>
    <hyperlink ref="AX40" r:id="rId167"/>
    <hyperlink ref="G41" r:id="rId168"/>
    <hyperlink ref="G42" r:id="rId169"/>
    <hyperlink ref="T42" r:id="rId170"/>
    <hyperlink ref="Y42" r:id="rId171"/>
    <hyperlink ref="AI42" r:id="rId172"/>
    <hyperlink ref="AN42" r:id="rId173"/>
    <hyperlink ref="K44" r:id="rId174"/>
    <hyperlink ref="P44" r:id="rId175"/>
    <hyperlink ref="U44" r:id="rId176"/>
    <hyperlink ref="Z44" r:id="rId177"/>
    <hyperlink ref="AE44" r:id="rId178"/>
    <hyperlink ref="AJ44" r:id="rId179"/>
    <hyperlink ref="AO44" r:id="rId180"/>
    <hyperlink ref="AT44" r:id="rId181"/>
  </hyperlinks>
  <pageMargins left="0.7" right="0.7" top="0.75" bottom="0.75" header="0.3" footer="0.3"/>
  <legacyDrawing r:id="rId18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13</vt:i4>
      </vt:variant>
    </vt:vector>
  </HeadingPairs>
  <TitlesOfParts>
    <vt:vector size="14" baseType="lpstr">
      <vt:lpstr>reDIP-SID-BOM. </vt:lpstr>
      <vt:lpstr>arrow_part_data</vt:lpstr>
      <vt:lpstr>BoardQty</vt:lpstr>
      <vt:lpstr>digikey_part_data</vt:lpstr>
      <vt:lpstr>farnell_part_data</vt:lpstr>
      <vt:lpstr>global_part_data</vt:lpstr>
      <vt:lpstr>lcsc_part_data</vt:lpstr>
      <vt:lpstr>mouser_part_data</vt:lpstr>
      <vt:lpstr>newark_part_data</vt:lpstr>
      <vt:lpstr>PURCHASE_DESCRIPTION</vt:lpstr>
      <vt:lpstr>rs_part_data</vt:lpstr>
      <vt:lpstr>tme_part_data</vt:lpstr>
      <vt:lpstr>TotalCost</vt:lpstr>
      <vt:lpstr>USD_GBP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2021-08-28T08:53:20Z</dcterms:created>
  <dcterms:modified xsi:type="dcterms:W3CDTF">2021-08-28T08:53:20Z</dcterms:modified>
</cp:coreProperties>
</file>