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ID-BOM. " sheetId="1" r:id="rId1"/>
  </sheets>
  <definedNames>
    <definedName name="arrow_part_data">'reDIP-SID-BOM. '!$K$5:$O$40</definedName>
    <definedName name="BoardQty">'reDIP-SID-BOM. '!$J$1</definedName>
    <definedName name="digikey_part_data">'reDIP-SID-BOM. '!$P$5:$T$40</definedName>
    <definedName name="farnell_part_data">'reDIP-SID-BOM. '!$U$5:$Y$40</definedName>
    <definedName name="global_part_data">'reDIP-SID-BOM. '!$A$5:$J$40</definedName>
    <definedName name="lcsc_part_data">'reDIP-SID-BOM. '!$Z$5:$AD$40</definedName>
    <definedName name="mouser_part_data">'reDIP-SID-BOM. '!$AE$5:$AI$40</definedName>
    <definedName name="newark_part_data">'reDIP-SID-BOM. '!$AJ$5:$AN$40</definedName>
    <definedName name="PURCHASE_DESCRIPTION">'reDIP-SID-BOM. '!$J$43</definedName>
    <definedName name="rs_part_data">'reDIP-SID-BOM. '!$AO$5:$AS$40</definedName>
    <definedName name="tme_part_data">'reDIP-SID-BOM. '!$AT$5:$AX$40</definedName>
    <definedName name="TotalCost">'reDIP-SID-BOM. '!$J$3</definedName>
    <definedName name="USD_GBP">'reDIP-SID-BOM. '!$C$43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$0.12      $5.95
   100   $0.10     $10.05
   500   $0.07     $34.38
  1000   $0.06     $60.84
  2500   $0.06    $145.48
  5000   $0.05    $264.50
 10000   $0.05    $502.60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£0.13      £1.27
   100   £0.10     £10.50
   150   £0.10     £15.75
   500   £0.05     £26.15
  2500   £0.05    £125.00
  5000   £0.05    £228.00
 10000   £0.04    £432.00
 50000   £0.04  £1,930.00</t>
        </r>
      </text>
    </comment>
    <comment ref="AG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$0.20      $9.90
   100   $0.10     $10.10
  1000   $0.06     $61.00
 10000   $0.05    $500.00</t>
        </r>
      </text>
    </comment>
    <comment ref="AL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$2.38
    25   $0.20      $4.98
    50   $0.16      $8.00
   100   $0.12     $12.10</t>
        </r>
      </text>
    </comment>
    <comment ref="P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$0.18      $9.04
   100   $0.15     $15.49
   500   $0.12     $58.09
  1000   $0.10     $98.11
  4000   $0.08    $305.32</t>
        </r>
      </text>
    </comment>
    <comment ref="W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£0.30      £3.01
   100   £0.16     £16.20
   150   £0.16     £24.30
   500   £0.11     £53.00
  1000   £0.09     £90.00
  2000   £0.08    £165.60
  4000   £0.08    £302.40
 20000   £0.07  £1,482.00</t>
        </r>
      </text>
    </comment>
    <comment ref="AB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$0.62      $3.10
    50   $0.45     $22.62
   150   $0.42     $63.22
   500   $0.39    $195.30
  2500   $0.38    $942.20
  5000   $0.37  $1,850.50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$0.26     $12.90
   100   $0.15     $15.40
  1000   $0.10     $98.00
 10000   $0.08    $830.00</t>
        </r>
      </text>
    </comment>
    <comment ref="A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$3.10
    25   $0.27      $6.70
    50   $0.23     $11.30
   100   $0.18     $18.50</t>
        </r>
      </text>
    </comment>
    <comment ref="P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$0.18      $9.03
   100   $0.15     $15.48
   500   $0.12     $58.04
  1000   $0.10     $98.02
  4000   $0.09    $350.80</t>
        </r>
      </text>
    </comment>
    <comment ref="U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£1.87
   100   £0.14     £13.90
   150   £0.14     £20.85
   500   £0.09     £44.95
  1000   £0.08     £75.90
  2000   £0.07    £148.60
  4000   £0.07    £291.20
 20000   £0.06  £1,206.00</t>
        </r>
      </text>
    </comment>
    <comment ref="AG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$0.27      $2.70
    50   $0.27     $13.50
   100   $0.16     $16.10
  1000   $0.10    $102.00
 10000   $0.08    $750.00</t>
        </r>
      </text>
    </comment>
    <comment ref="AJ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$0.27      $2.70
    25   $0.23      $5.85
    50   $0.20      $9.85
   100   $0.16     $16.10
  4000   $0.08    $324.00
  8000   $0.08    $600.00</t>
        </r>
      </text>
    </comment>
    <comment ref="AQ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£0.21      £4.12
   100   £0.11     £11.40
   500   £0.09     £46.50
  1000   £0.08     £82.00
  2000   £0.08    £160.00
  4000   £0.06    £240.00
 16000   £0.06    £928.00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$1.72
    50   $0.12      $5.75
   100   $0.10      $9.78
   500   $0.07     $34.50
  1000   $0.06     $60.38
  2500   $0.06    $143.75
  5000   $0.05    $265.95
 15000   $0.05    $715.95</t>
        </r>
      </text>
    </comment>
    <comment ref="U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£0.15      £1.52
   100   £0.11     £10.60
   150   £0.11     £15.90
   500   £0.08     £41.85
  2500   £0.06    £159.00
  7500   £0.05    £397.50
 15000   £0.05    £780.00
 75000   £0.04  £3,337.50</t>
        </r>
      </text>
    </comment>
    <comment ref="AE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$1.71
    50   $0.17      $8.55
   100   $0.10      $9.70
  1000   $0.06     $60.00
 10000   $0.05    $510.00</t>
        </r>
      </text>
    </comment>
    <comment ref="AJ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$0.20      $2.05
    25   $0.18      $4.40
    50   $0.15      $7.30
   100   $0.12     $11.60
 15000   $0.06    $930.00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$3.07
    50   $0.22     $10.75
   100   $0.18     $18.42
   500   $0.14     $69.09
  1000   $0.12    $116.68
  2500   $0.11    $276.35
  5000   $0.10    $522.00
 10000   $0.10    $982.60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£0.23      £2.27
   100   £0.18     £18.40
   150   £0.18     £27.60
   500   £0.10     £51.00
  2500   £0.10    £242.25
  5000   £0.09    £426.50
 10000   £0.08    £836.00
 50000   £0.07  £3,580.00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$0.67      $3.35
    50   $0.49     $24.43
   150   $0.46     $68.28
   500   $0.42    $210.94
  2500   $0.41  $1,017.60
  5000   $0.40  $1,998.60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$3.06
    50   $0.31     $15.30
   100   $0.18     $18.40
  1000   $0.12    $116.00
 10000   $0.09    $940.00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$0.37      $3.67
    25   $0.32      $7.95
    50   $0.27     $13.50
   100   $0.22     $22.10
 10000   $0.11  $1,130.00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$0.02      $0.93
   100   $0.02      $1.52
   500   $0.01      $5.43
  1000   $0.01      $8.54
  2500   $0.01     $19.40
  5000   $0.01     $35.70
 15000   $0.01     $93.15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£0.02      £1.68
   150   £0.02      £2.52
   500   £0.01      £4.50
  2500   £0.01     £15.00
  7500   £0.01     £44.25
 15000   £0.01     £81.00
 75000   £0.00    £352.50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$0.02      $1.73
  1000   $0.01     $12.59
  3000   $0.01     $35.19
 10000   $0.01    $108.70
 50000   $0.01    $524.50
100000   $0.01  $1,030.00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$0.03      $1.70
   100   $0.02      $1.50
  1000   $0.01      $9.00
 10000   $0.01     $70.00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$0.04      $0.41
    25   $0.03      $0.83
    50   $0.03      $1.30
   100   $0.02      $1.80
 15000   $0.01    $120.00</t>
        </r>
      </text>
    </comment>
    <comment ref="AQ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 5000   £0.01     £30.00
 10000   £0.01     £60.00
 15000   £0.00     £60.00
 60000   £0.00    £240.00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$0.34      $3.35
   100   $0.19     $18.99
   500   $0.13     $62.86
  1000   $0.10     $96.39
  2000   $0.08    $167.64
  5000   $0.08    $377.20
 10000   $0.07    $670.60
 30000   $0.06  $1,886.10</t>
        </r>
      </text>
    </comment>
    <comment ref="U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10000   £0.05    £506.00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$0.41      $0.41
    10   $0.29      $2.90
    50   $0.29     $14.50
   100   $0.16     $16.40
  1000   $0.08     $84.00
 10000   $0.06    $600.00</t>
        </r>
      </text>
    </comment>
    <comment ref="AJ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 5   $0.36      $1.80
    10   $0.28      $2.76
   100   $0.15     $15.40
   500   $0.14     $68.00
  1000   $0.12    $118.00
  2500   $0.10    $257.50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$0.26      $2.56
   100   $0.12     $11.50
   500   $0.10     $51.94
  1000   $0.09     $85.33
  2000   $0.07    $148.40
  4000   $0.07    $296.80
  8000   $0.07    $534.24
 12000   $0.06    $712.32
 28000   $0.06  $1,558.20
100000   $0.05  $5,250.00</t>
        </r>
      </text>
    </comment>
    <comment ref="W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£0.08    £330.80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$0.48      $0.48
    10   $0.27      $2.66
    50   $0.27     $13.30
   100   $0.11     $10.80
  1000   $0.09     $89.00
 10000   $0.06    $560.00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25   $0.26      $6.40
    50   $0.19      $9.30
   100   $0.12     $11.50
   250   $0.11     $27.25
   500   $0.10     $51.50</t>
        </r>
      </text>
    </comment>
    <comment ref="AV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£0.70
    25   £0.12      £3.03
   100   £0.08      £7.51
   500   £0.06     £28.60
  4000   £0.04    £171.60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$0.26      $2.63
   100   $0.12     $11.83
   500   $0.11     $53.42
  1000   $0.09     $87.77
  2000   $0.08    $152.64
  4000   $0.08    $305.28
  8000   $0.07    $549.52
 12000   $0.06    $732.72
 28000   $0.06  $1,602.72
100000   $0.05  $5,400.00</t>
        </r>
      </text>
    </comment>
    <comment ref="W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£0.26      £0.26
    25   £0.20      £5.00
    50   £0.14      £7.25
   100   £0.09      £8.92
   250   £0.08     £21.22
   500   £0.08     £40.65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$0.49      $0.49
    10   $0.27      $2.74
    50   $0.27     $13.70
   100   $0.11     $11.10
  1000   $0.09     $92.00
 10000   $0.06    $570.00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25   $0.04      $0.98
    50   $0.04      $1.95
   100   $0.04      $3.90
   250   $0.04      $9.75
   500   $0.04     $19.50</t>
        </r>
      </text>
    </comment>
    <comment ref="AV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£0.70
    25   £0.11      £2.66
   100   £0.08      £7.51
   500   £0.05     £27.10
  4000   £0.04    £156.00</t>
        </r>
      </text>
    </comment>
    <comment ref="AB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$1.77      $1.77
    10   $1.36     $13.60
    30   $1.26     $37.80
   100   $1.13    $113.00
   500   $1.07    $535.00
  1000   $1.06  $1,060.00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£165.00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$75.00
 30000   $0.00    $120.00</t>
        </r>
      </text>
    </comment>
    <comment ref="AQ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£5.00
  5000   £0.00     £25.00
 10000   £0.00     £50.00
 15000   £0.00     £75.00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B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$0.10      $4.94
   500   $0.07     $36.86
  1500   $0.07    $103.71
  5000   $0.06    $322.75
 25000   $0.06  $1,562.75
 50000   $0.06  $3,075.00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J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45000   $0.00    $180.00</t>
        </r>
      </text>
    </comment>
    <comment ref="AQ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£11.00
  5000   £0.01     £45.00
 10000   £0.01     £80.00
 15000   £0.01     £90.00</t>
        </r>
      </text>
    </comment>
    <comment ref="P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25   $0.02      $0.45
    50   $0.01      $0.68
   100   $0.01      $1.00
   250   $0.01      $1.91
   500   $0.01      $3.06
  1000   $0.00      $4.50
  5000   $0.00     $16.15
 15000   $0.00     $42.15
 30000   $0.00     $74.10
 75000   $0.00    $173.25</t>
        </r>
      </text>
    </comment>
    <comment ref="W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150   £0.02      £3.60
   500   £0.02      £9.00
  2500   £0.01     £30.00
  7500   £0.01     £67.50
 15000   £0.01    £105.00
 75000   £0.01    £382.50</t>
        </r>
      </text>
    </comment>
    <comment ref="AE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L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25   $0.02      $0.52
   100   $0.01      $0.90
   250   $0.01      $2.00
   500   $0.01      $3.50
  1000   $0.01      $6.00
  2500   $0.00     $12.50
  5000   $0.00     $20.00
 10000   $0.01     $70.00
 15000   $0.01    $105.00
 20000   $0.01    $120.00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15000   £0.00     £75.00</t>
        </r>
      </text>
    </comment>
    <comment ref="P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$90.00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£210.00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J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15000   $0.00     $75.00
 30000   $0.00    $120.00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£5.00
  5000   £0.00     £25.00
 10000   £0.00     £50.00
 15000   £0.00     £60.00</t>
        </r>
      </text>
    </comment>
    <comment ref="P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£0.26
   100   £0.01      £1.41
   150   £0.01      £2.11
   500   £0.01      £4.35
  2500   £0.00     £11.50
  7500   £0.00     £30.75
 15000   £0.00     £43.50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$0.56
    50   $0.06      $2.80
   100   $0.02      $2.40
  1000   $0.01     $12.00
 10000   $0.01     $90.00</t>
        </r>
      </text>
    </comment>
    <comment ref="AL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$0.62
    25   $0.05      $1.25
    50   $0.04      $1.90
   100   $0.03      $2.60
 15000   $0.01    $135.00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£0.56
   100   £0.02      £2.27
   150   £0.02      £3.41
   500   £0.01      £4.85
  2500   £0.01     £20.25
  7500   £0.01     £54.00
 15000   £0.01     £84.00
 75000   £0.01    £405.00</t>
        </r>
      </text>
    </comment>
    <comment ref="AB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$0.06      $2.95
   500   $0.04     $22.12
  1500   $0.04     $62.31
  5000   $0.04    $194.20
 25000   $0.04    $941.00
 50000   $0.04  $1,852.50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 50   $0.05      $2.65
   100   $0.02      $2.20
  1000   $0.01     $10.00
 10000   $0.01     $70.00</t>
        </r>
      </text>
    </comment>
    <comment ref="AL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$0.57
    25   $0.07      $1.65
    50   $0.04      $1.75
   100   $0.03      $2.70
   250   $0.02      $5.50
   500   $0.02      $8.00
  1000   $0.01     $11.00
  2500   $0.01     $25.00
  5000   $0.01     $45.00
 15000   $0.01    $135.00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15000   £0.01     £90.00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J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15000   $0.00     $75.00
 30000   $0.00    $120.00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B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$0.03      $1.75
   500   $0.03     $13.09
  1500   $0.02     $36.86
  5000   $0.02    $114.80
 25000   $0.02    $556.25
 50000   $0.02  $1,094.50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$50.00</t>
        </r>
      </text>
    </comment>
    <comment ref="AJ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5000   $0.01     $35.00
 10000   $0.01     $60.00
 15000   $0.01     $90.00</t>
        </r>
      </text>
    </comment>
    <comment ref="AQ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 5000   £0.00     £20.00
 10000   £0.00     £40.00
 15000   £0.00     £60.00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25   $0.20      $5.00
   100   $0.18     $18.19
   250   $0.17     $42.75
   500   $0.16     $78.22
  1000   $0.13    $130.97
  2500   $0.13    $318.32
  8500   $0.12  $1,020.43
 17000   $0.11  $1,917.26</t>
        </r>
      </text>
    </comment>
    <comment ref="W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£0.15      £1.51
    50   £0.14      £7.15
   100   £0.13     £13.00
   500   £0.11     £56.00</t>
        </r>
      </text>
    </comment>
    <comment ref="AG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$0.22      $2.18
    50   $0.20     $10.05
   100   $0.19     $18.90
  1000   $0.15    $154.00
 10000   $0.15  $1,540.00</t>
        </r>
      </text>
    </comment>
    <comment ref="AL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8500   $0.17  $1,462.00
100000   $0.14 $14,400.00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25   $0.30      $7.51
   100   $0.19     $19.45
   250   $0.16     $40.25
   500   $0.13     $64.40
  1000   $0.10     $98.74
  3000   $0.09    $257.58
  6000   $0.08    $463.62
 15000   $0.07  $1,063.05</t>
        </r>
      </text>
    </comment>
    <comment ref="W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£0.54      £2.72
    10   £0.40      £3.97
   100   £0.18     £18.00
   500   £0.10     £51.50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50   $0.34     $17.15
   100   $0.17     $17.20
  1000   $0.10     $99.00
 10000   $0.08    $770.00</t>
        </r>
      </text>
    </comment>
    <comment ref="AL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$0.40      $2.00
    10   $0.33      $3.26
   100   $0.15     $15.10
  6000   $0.06    $390.00
  9000   $0.06    $585.00
 18000   $0.06  $1,098.00
 48000   $0.06  $2,688.00
 90000   $0.05  $4,770.00</t>
        </r>
      </text>
    </comment>
    <comment ref="AQ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30   £0.04      £1.05
   120   £0.03      £3.84
  1020   £0.03     £30.60
  3000   £0.03     £87.00
  9000   £0.03    £252.00
 24000   £0.03    £720.00
 45000   £0.03  £1,305.00
 99000   £0.03  £2,772.00</t>
        </r>
      </text>
    </comment>
    <comment ref="P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$6.00      $6.00
    25   $5.25    $131.25
   100   $5.00    $500.50
  2000   $5.00 $10,010.00</t>
        </r>
      </text>
    </comment>
    <comment ref="U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£4.86      £4.86
    25   £4.26    £106.50
   100   £4.06    £406.00
   150   £4.06    £609.00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$6.06      $6.06
    10   $6.06     $60.60
    50   $5.31    $265.50
   100   $5.06    $506.00
  1000   $5.06  $5,060.00
 10000   $5.05 $50,500.00</t>
        </r>
      </text>
    </comment>
    <comment ref="AJ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$5.56      $5.56
    10   $6.03     $60.30
    25   $5.77    $144.25
  2000   $5.43 $10,860.00
  4000   $5.27 $21,080.00
  8000   $4.95 $39,600.00
 12000   $4.72 $56,640.00</t>
        </r>
      </text>
    </comment>
    <comment ref="P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$0.40      $4.02
    25   $0.38      $9.39
   100   $0.30     $30.04
   250   $0.28     $69.73
   500   $0.24    $118.00
  1000   $0.18    $182.36
  3000   $0.18    $531.30</t>
        </r>
      </text>
    </comment>
    <comment ref="U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£0.55      £2.77
    10   £0.46      £4.64
   100   £0.29     £28.60
   150   £0.29     £42.90
   500   £0.19     £94.50</t>
        </r>
      </text>
    </comment>
    <comment ref="AG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$0.38      $3.76
    50   $0.38     $18.80
   100   $0.28     $27.90
  1000   $0.18    $183.00
 10000   $0.17  $1,660.00</t>
        </r>
      </text>
    </comment>
    <comment ref="AJ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$0.65      $0.65
     5   $0.65      $3.23
    10   $0.54      $5.38
   100   $0.38     $38.40
  3000   $0.15    $438.00
  6000   $0.14    $858.00
 12000   $0.14  $1,680.00
 18000   $0.14  $2,484.00
 24000   $0.14  $3,264.00</t>
        </r>
      </text>
    </comment>
    <comment ref="AQ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18   £0.32      £5.71
   108   £0.16     £17.50
  1008   £0.12    £122.98
  3000   £0.13    £393.00
  3006   £0.10    £303.61
  9000   £0.15  £1,323.00</t>
        </r>
      </text>
    </comment>
    <comment ref="P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$1.61  $3,220.00</t>
        </r>
      </text>
    </comment>
    <comment ref="AB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$7.58      $7.58
    10   $5.55     $55.50
    30   $5.18    $155.40
   100   $4.80    $480.00
   500   $4.64  $2,320.00
  1000   $4.56  $4,560.00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$2.87      $2.87
    10   $2.59     $25.90
    50   $2.44    $122.00
   100   $2.08    $208.00
  1000   $1.42  $1,420.00
 10000   $1.41 $14,100.00</t>
        </r>
      </text>
    </comment>
    <comment ref="P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$3.90      $3.90
    10   $3.85     $38.50</t>
        </r>
      </text>
    </comment>
    <comment ref="U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£3.86      £3.86
    10   £3.11     £31.10
    25   £2.93     £73.25
    50   £2.87    £143.50</t>
        </r>
      </text>
    </comment>
    <comment ref="AE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$3.93      $3.93
    10   $3.54     $35.40
    50   $3.34    $167.00
   100   $2.90    $290.00
  1000   $2.80  $2,800.00
 10000   $2.79 $27,900.00</t>
        </r>
      </text>
    </comment>
    <comment ref="AJ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$4.07      $4.07
    10   $4.03     $40.30
  2450   $4.03  $9,873.50</t>
        </r>
      </text>
    </comment>
    <comment ref="P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$0.24      $2.39
    25   $0.23      $5.70
    50   $0.22     $11.04
   100   $0.21     $21.34
   250   $0.20     $50.60
   500   $0.17     $84.64
  1000   $0.13    $131.38
  4000   $0.13    $500.48
  8000   $0.12    $942.08
 12000   $0.11  $1,324.80
 28000   $0.10  $2,885.12</t>
        </r>
      </text>
    </comment>
    <comment ref="W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£0.53      £2.66
    10   £0.42      £4.24
   100   £0.26     £25.80
   150   £0.26     £38.70
   500   £0.14     £72.00</t>
        </r>
      </text>
    </comment>
    <comment ref="AE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$0.37      $3.67
    50   $0.37     $18.35
   100   $0.25     $25.00
  1000   $0.14    $141.00
 10000   $0.12  $1,170.00</t>
        </r>
      </text>
    </comment>
    <comment ref="AJ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$0.26      $2.58
   100   $0.23     $23.20
  3000   $0.15    $447.00
  4000   $0.13    $524.00
  6000   $0.13    $798.00
  8000   $0.13  $1,064.00
 12000   $0.12  $1,452.00
 18000   $0.11  $2,034.00
 30000   $0.10  $3,150.00</t>
        </r>
      </text>
    </comment>
    <comment ref="AQ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£0.29     £14.40
   100   £0.22     £22.20
  1000   £0.21    £214.00
  4000   £0.20    £800.00
  8000   £0.18  £1,440.00
 24000   £0.10  £2,304.00
 48000   £0.09  £4,224.00
100000   £0.08  £8,500.00</t>
        </r>
      </text>
    </comment>
    <comment ref="AT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£0.17      £0.87
    25   £0.15      £3.78
   100   £0.13     £13.10
   500   £0.11     £57.24
  2000   £0.11    £213.72</t>
        </r>
      </text>
    </comment>
    <comment ref="R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25   $0.56     $14.00
   100   $0.54     $54.00
  3000   $0.54  $1,620.00</t>
        </r>
      </text>
    </comment>
    <comment ref="W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£0.81      £0.81
    25   £0.62     £15.58
   100   £0.54     £53.50
   150   £0.54     £80.25</t>
        </r>
      </text>
    </comment>
    <comment ref="AG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$0.66      $6.60
    50   $0.56     $28.00
   100   $0.52     $52.20
  1000   $0.52    $522.00
 10000   $0.52  $5,220.00</t>
        </r>
      </text>
    </comment>
    <comment ref="AL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$0.87      $0.87
    10   $0.80      $7.98
    25   $0.73     $18.22
  3000   $0.53  $1,584.00</t>
        </r>
      </text>
    </comment>
    <comment ref="AQ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£0.48      £9.62
    40   £0.46     £18.40
   100   £0.42     £41.50
  3000   £0.38  £1,152.00</t>
        </r>
      </text>
    </comment>
    <comment ref="AT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£0.61      £0.61
    10   £0.57      £5.70
    25   £0.51     £12.75
   100   £0.46     £46.00</t>
        </r>
      </text>
    </comment>
    <comment ref="R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$1.97      $1.97
    10   $1.80     $17.98
    25   $1.75     $43.74
    50   $1.74     $87.04
   100   $1.56    $155.60
   250   $1.55    $387.88
   500   $1.53    $764.05
  1000   $1.46  $1,463.22
  5000   $1.36  $6,811.55</t>
        </r>
      </text>
    </comment>
    <comment ref="R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$1.62      $1.62
    10   $1.55     $15.48
    50   $1.51     $75.60
   100   $1.30    $129.60
   500   $1.26    $630.00
  1000   $1.06  $1,062.00
  3000   $1.01  $3,024.00</t>
        </r>
      </text>
    </comment>
    <comment ref="W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£1.28      £6.40
    10   £1.28     £12.80
    50   £1.07     £53.50
   250   £0.97    £242.00
   500   £0.94    £472.50
  1500   £0.92  £1,383.00</t>
        </r>
      </text>
    </comment>
    <comment ref="AG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$1.80      $1.80
    10   $1.72     $17.20
    50   $1.68     $84.00
   100   $1.44    $144.00
  1000   $1.15  $1,150.00
 10000   $1.08 $10,800.00</t>
        </r>
      </text>
    </comment>
    <comment ref="AL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$2.48      $2.48
     5   $2.48     $12.40
    10   $2.36     $23.60
    25   $2.34     $58.50
    50   $2.31    $115.50
   100   $1.98    $198.00
  1000   $1.34  $1,340.00
  2000   $1.28  $2,560.00
  3000   $1.28  $3,840.00
  4000   $1.17  $4,680.00
  6000   $1.12  $6,720.00
 10000   $1.09 $10,900.00</t>
        </r>
      </text>
    </comment>
    <comment ref="I42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F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K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43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43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<sst xmlns="http://schemas.openxmlformats.org/spreadsheetml/2006/main" count="593" uniqueCount="332">
  <si>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</si>
  <si>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</si>
  <si>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</si>
  <si>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</si>
  <si>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</si>
  <si>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</si>
  <si>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</si>
  <si>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</si>
  <si>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</si>
  <si>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</si>
  <si>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Notes</t>
  </si>
  <si>
    <t>C1,C3</t>
  </si>
  <si>
    <t>1uF</t>
  </si>
  <si>
    <t>CAP CER 2.2uF 16V 10% X6S 0402</t>
  </si>
  <si>
    <t>C_0402_1005Metric</t>
  </si>
  <si>
    <t>Murata</t>
  </si>
  <si>
    <t>GRM155C81C225KE11D</t>
  </si>
  <si>
    <t>5V DC DERATED TO 1uF</t>
  </si>
  <si>
    <t>C11</t>
  </si>
  <si>
    <t>CAP CER 4.7uF 16V 20% X5R 0603</t>
  </si>
  <si>
    <t>C_0603_1608Metric</t>
  </si>
  <si>
    <t>GRM188R61C475ME11D</t>
  </si>
  <si>
    <t>9V/12V DC DERATED TO 1uF</t>
  </si>
  <si>
    <t>C12,C13</t>
  </si>
  <si>
    <t>10uF</t>
  </si>
  <si>
    <t>CAP TANT 10uF 6.3V 20% 0603</t>
  </si>
  <si>
    <t>Vishay</t>
  </si>
  <si>
    <t>TMCJ0J106MTRF</t>
  </si>
  <si>
    <t>1.65V DC 1.5V AC AUDIO</t>
  </si>
  <si>
    <t>C2,C6,C21</t>
  </si>
  <si>
    <t>CAP CER 1uF 6.3V 20% X6S 0201</t>
  </si>
  <si>
    <t>C_0201_0603Metric</t>
  </si>
  <si>
    <t>GRM033C80J105ME05D</t>
  </si>
  <si>
    <t>1.2V DC</t>
  </si>
  <si>
    <t>C4,C5,C14</t>
  </si>
  <si>
    <t>CAP CER 4.7uF 6.3V 20% X5R 0201</t>
  </si>
  <si>
    <t>GRM035R60J475ME15D</t>
  </si>
  <si>
    <t>3.3V DC DERATED TO 1uF</t>
  </si>
  <si>
    <t>C7-C10,C15-C20,C22,C23</t>
  </si>
  <si>
    <t>0.1uF</t>
  </si>
  <si>
    <t>CAP CER 0.22uF 6.3V 20% X5R 0201</t>
  </si>
  <si>
    <t>GRM033R60J224KE15D</t>
  </si>
  <si>
    <t>C8,C9,C15-C17,C19,C20,C22,C23: 3.3V DC DERATED TO 0.1uF
C10: 1.65V DC VAG DERATED TO 0.1uF
C7,C18: 1.2V DC DERATED TO 0.1uF</t>
  </si>
  <si>
    <t>D1,D2</t>
  </si>
  <si>
    <t>PMEG2010BELD</t>
  </si>
  <si>
    <t>DIODE SCHOTTKY 20V 1A LOW VF SOD882D</t>
  </si>
  <si>
    <t>D_SOD-882D</t>
  </si>
  <si>
    <t>Nexperia</t>
  </si>
  <si>
    <t>PMEG2010BELD,315</t>
  </si>
  <si>
    <t>D3</t>
  </si>
  <si>
    <t>SML-LX0201USBC-TR</t>
  </si>
  <si>
    <t>LED BLUE Vf=2.6V If=2mA 15mcd 0201</t>
  </si>
  <si>
    <t>SML-LX0201</t>
  </si>
  <si>
    <t>Lumex</t>
  </si>
  <si>
    <t>D4</t>
  </si>
  <si>
    <t>SML-LX0201UPGC-TR</t>
  </si>
  <si>
    <t>LED GREEN Vf=2.5V If=2mA 100mcd 0201</t>
  </si>
  <si>
    <t>J1</t>
  </si>
  <si>
    <t>Conn_01x01</t>
  </si>
  <si>
    <t>CONN HDR SQ PIN 0.64mm 1 POS .100" GOLD MATING 6mm TAIL 3mm</t>
  </si>
  <si>
    <t>PinHeader_1x01_P2.54mm_Vertical</t>
  </si>
  <si>
    <t>J2</t>
  </si>
  <si>
    <t>Conn_01x05</t>
  </si>
  <si>
    <t>CONN HDR SQ PIN 0.64mm 5 POS .100" GOLD MATING 6mm TAIL 3mm</t>
  </si>
  <si>
    <t>PinHeader_1x05_P2.54mm_Vertical</t>
  </si>
  <si>
    <t>J3</t>
  </si>
  <si>
    <t>Conn_01x14</t>
  </si>
  <si>
    <t>CONN HDR ROUND PIN 0.5mm 14 POS .100" GOLD MATING 3.5mm TAIL 3mm</t>
  </si>
  <si>
    <t>PinHeader_1x14_P2.54mm_Vertical_Machined</t>
  </si>
  <si>
    <t>J4</t>
  </si>
  <si>
    <t>Conn_01x10</t>
  </si>
  <si>
    <t>CONN HDR ROUND PIN 0.5mm 10 POS .100" GOLD MATING 3.5mm TAIL 3mm</t>
  </si>
  <si>
    <t>PinHeader_1x10_P2.54mm_Vertical_Machined</t>
  </si>
  <si>
    <t>J5</t>
  </si>
  <si>
    <t>TYPE-C-31-M-12</t>
  </si>
  <si>
    <t>CONN USB-C</t>
  </si>
  <si>
    <t>USB_C_Receptacle_HRO_TYPE-C-31-M-12</t>
  </si>
  <si>
    <t>HRO</t>
  </si>
  <si>
    <t>PIN-IN-PASTE, paste overprinting included in design</t>
  </si>
  <si>
    <t>R1,R2,R12</t>
  </si>
  <si>
    <t>2.2k</t>
  </si>
  <si>
    <t>RES 2.2kΩ 50mW 5% 0201</t>
  </si>
  <si>
    <t>R_0201_0603Metric</t>
  </si>
  <si>
    <t>Panasonic</t>
  </si>
  <si>
    <t>ERJ-1GNJ222C</t>
  </si>
  <si>
    <t>R10,R13,R14</t>
  </si>
  <si>
    <t>10k</t>
  </si>
  <si>
    <t>RES 10kΩ 50mW 5% 0201</t>
  </si>
  <si>
    <t>ERJ-1GNJ103C</t>
  </si>
  <si>
    <t>R15,R16</t>
  </si>
  <si>
    <t>0</t>
  </si>
  <si>
    <t>RES 0Ω 50mW 1% 0201</t>
  </si>
  <si>
    <t>ERJ-1GN0R00C</t>
  </si>
  <si>
    <t>R17</t>
  </si>
  <si>
    <t>22</t>
  </si>
  <si>
    <t>RES 22Ω 50mW 5% 0201</t>
  </si>
  <si>
    <t>ERJ-1GNJ220C</t>
  </si>
  <si>
    <t>R3,R11</t>
  </si>
  <si>
    <t>1.5k</t>
  </si>
  <si>
    <t>RES 1.5kΩ 50mW 5% 0201</t>
  </si>
  <si>
    <t>ERJ-1GNJ152C</t>
  </si>
  <si>
    <t>R4,R5</t>
  </si>
  <si>
    <t>20k</t>
  </si>
  <si>
    <t>RES 20kΩ 50mW 1% 0201</t>
  </si>
  <si>
    <t>ERJ-1GNF2002C</t>
  </si>
  <si>
    <t>R6</t>
  </si>
  <si>
    <t>RES 10kΩ 50mW 1% 0201</t>
  </si>
  <si>
    <t>ERJ-1GNF1002C</t>
  </si>
  <si>
    <t>R7,R8</t>
  </si>
  <si>
    <t>5.1k</t>
  </si>
  <si>
    <t>RES 5.1kΩ 50mW 5% 0201</t>
  </si>
  <si>
    <t>ERJ-1GNJ512C</t>
  </si>
  <si>
    <t>R9</t>
  </si>
  <si>
    <t>100</t>
  </si>
  <si>
    <t>RES 100Ω 50mW 5% 0201</t>
  </si>
  <si>
    <t>ERJ-1GNJ101C</t>
  </si>
  <si>
    <t>SW1</t>
  </si>
  <si>
    <t>KXT311LHS</t>
  </si>
  <si>
    <t>SW TACT 3.0 x 2.0 mm</t>
  </si>
  <si>
    <t>SW_SPST_CK_KXT3</t>
  </si>
  <si>
    <t>C&amp;K</t>
  </si>
  <si>
    <t>U1,U3</t>
  </si>
  <si>
    <t>NCP115AMX120TCG</t>
  </si>
  <si>
    <t>IC REG LDO 1.2V 300mA XDFN4</t>
  </si>
  <si>
    <t>CASE_711AJ_1.0x1.0mm_P0.65mm</t>
  </si>
  <si>
    <t>ON Semiconductor</t>
  </si>
  <si>
    <t>U10</t>
  </si>
  <si>
    <t>ICE40UP5K-SG48I</t>
  </si>
  <si>
    <t>IC FPGA QFN-48</t>
  </si>
  <si>
    <t>QFN-48-1EP_7x7mm_P0.5mm_EP5.6x5.6mm</t>
  </si>
  <si>
    <t>Lattice</t>
  </si>
  <si>
    <t>U2</t>
  </si>
  <si>
    <t>NCP167AMX330TBG</t>
  </si>
  <si>
    <t>IC REG LDO 3.3V 700mA XDFN4</t>
  </si>
  <si>
    <t>U4</t>
  </si>
  <si>
    <t>SN74CBTD16211DGVR</t>
  </si>
  <si>
    <t>IC BUS SWITCH WITH LEVEL SHIFTER TVSOP-56</t>
  </si>
  <si>
    <t>Texas_TVSOP-56_4.4x11.3mm_P0.4mm</t>
  </si>
  <si>
    <t>TI</t>
  </si>
  <si>
    <t>U5</t>
  </si>
  <si>
    <t>SGTL5000XNLA3</t>
  </si>
  <si>
    <t>IC AUDIO CODEC UQFN-20</t>
  </si>
  <si>
    <t>QFN-20-1EP_3x3mm_P0.4mm_EP1.65x1.65mm</t>
  </si>
  <si>
    <t>NXP</t>
  </si>
  <si>
    <t>ALTERNATIVE PART #: SGTL5000XNLA3R2</t>
  </si>
  <si>
    <t>U6</t>
  </si>
  <si>
    <t>NUF2042XV6</t>
  </si>
  <si>
    <t>IC USB TERMINATOR ESD PROTECTION SOT-563</t>
  </si>
  <si>
    <t>CASE_463A_1.6x1.2mm_P0.5mm</t>
  </si>
  <si>
    <t>NUF2042XV6T1G</t>
  </si>
  <si>
    <t>U7</t>
  </si>
  <si>
    <t>MCP6H01T-E/OT</t>
  </si>
  <si>
    <t>IC OPAMP SOT-23-5</t>
  </si>
  <si>
    <t>SOT-23-5</t>
  </si>
  <si>
    <t>Microchip</t>
  </si>
  <si>
    <t>U8</t>
  </si>
  <si>
    <t>LY68L6400SLIT</t>
  </si>
  <si>
    <t>IC PSRAM 64Mbit SOP-8</t>
  </si>
  <si>
    <t>SOP-8_3.9x4.9mm_P1.27mm</t>
  </si>
  <si>
    <t>Lyontek</t>
  </si>
  <si>
    <t>REPLACEMENT PARTS: AP Memory APS6404L-3SQR-SN, Espressif ESP-PSRAM64H, IPUS IPS6404L-SQ</t>
  </si>
  <si>
    <t>U9</t>
  </si>
  <si>
    <t>W25Q128JVPIM</t>
  </si>
  <si>
    <t>IC FLASH 128Mbit WSON-8</t>
  </si>
  <si>
    <t>WSON-8-1EP_6x5mm_P1.27mm_EP3.4x4.3mm</t>
  </si>
  <si>
    <t>Winbond</t>
  </si>
  <si>
    <t>ALTERNATIVE PART #: W25Q128JVPIM TR</t>
  </si>
  <si>
    <t>X1</t>
  </si>
  <si>
    <t>ASCO-24.000MHZ-EK-T3</t>
  </si>
  <si>
    <t>OSC 24 MHz 30 ppm 1.6x1.2 mm</t>
  </si>
  <si>
    <t>Oscillator_SMD-4Pin_1.6x1.2mm</t>
  </si>
  <si>
    <t>Abracon</t>
  </si>
  <si>
    <t>REPLACEMENT PARTS: ECS ECS-1612MV-240-CN-TR</t>
  </si>
  <si>
    <t>Total Purchase:</t>
  </si>
  <si>
    <t>Purchase description:</t>
  </si>
  <si>
    <t>Used currency rates:</t>
  </si>
  <si>
    <t>USD($)/GBP(£):</t>
  </si>
  <si>
    <t>Prj:</t>
  </si>
  <si>
    <t>reDIP SID</t>
  </si>
  <si>
    <t>Co.:</t>
  </si>
  <si>
    <t>Nimrod</t>
  </si>
  <si>
    <t>Prj date:</t>
  </si>
  <si>
    <t>lø. 21. aug. 2021 kl. 22.57 +0200</t>
  </si>
  <si>
    <t>Board Qty:</t>
  </si>
  <si>
    <t>Total Cost:</t>
  </si>
  <si>
    <t>Unit Cost:</t>
  </si>
  <si>
    <t>$ date:</t>
  </si>
  <si>
    <t>2021-08-21 22:57:35</t>
  </si>
  <si>
    <t>Arrow</t>
  </si>
  <si>
    <t>Avail</t>
  </si>
  <si>
    <t>Purch</t>
  </si>
  <si>
    <t>Cat#</t>
  </si>
  <si>
    <t>Buy here</t>
  </si>
  <si>
    <t>Digi-Key</t>
  </si>
  <si>
    <t>490-14595-1-ND</t>
  </si>
  <si>
    <t>490-14638-1-ND</t>
  </si>
  <si>
    <t>NonStk</t>
  </si>
  <si>
    <t>718-2355-1-ND</t>
  </si>
  <si>
    <t>490-13218-1-ND</t>
  </si>
  <si>
    <t>490-13230-1-ND</t>
  </si>
  <si>
    <t>490-10406-1-ND</t>
  </si>
  <si>
    <t>1727-1084-1-ND</t>
  </si>
  <si>
    <t>67-2283-1-ND</t>
  </si>
  <si>
    <t>67-2282-1-ND</t>
  </si>
  <si>
    <t>P123277CT-ND</t>
  </si>
  <si>
    <t>P123222CT-ND</t>
  </si>
  <si>
    <t>P15979CT-ND</t>
  </si>
  <si>
    <t>P123275CT-ND</t>
  </si>
  <si>
    <t>P123246CT-ND</t>
  </si>
  <si>
    <t>P122813CT-ND</t>
  </si>
  <si>
    <t>P122414CT-ND</t>
  </si>
  <si>
    <t>P123340CT-ND</t>
  </si>
  <si>
    <t>P123220CT-ND</t>
  </si>
  <si>
    <t>CKN10777CT-ND</t>
  </si>
  <si>
    <t>NCP115AMX120TCGOSCT-ND</t>
  </si>
  <si>
    <t>220-2212-1-ND</t>
  </si>
  <si>
    <t>NCP167AMX330TBGOSCT-ND</t>
  </si>
  <si>
    <t>296-6475-2-ND</t>
  </si>
  <si>
    <t>SGTL5000XNLA3-ND</t>
  </si>
  <si>
    <t>NUF2042XV6T1GOSCT-ND</t>
  </si>
  <si>
    <t>MCP6H01T-E/OTCT-ND</t>
  </si>
  <si>
    <t>W25Q128JVPIM-ND</t>
  </si>
  <si>
    <t>535-12073-1-ND</t>
  </si>
  <si>
    <t>Farnell</t>
  </si>
  <si>
    <t>3581345</t>
  </si>
  <si>
    <t>3581379</t>
  </si>
  <si>
    <t>2491414</t>
  </si>
  <si>
    <t>3582762</t>
  </si>
  <si>
    <t>3238402</t>
  </si>
  <si>
    <t>2990684</t>
  </si>
  <si>
    <t>2191801</t>
  </si>
  <si>
    <t>2775247</t>
  </si>
  <si>
    <t>2775246</t>
  </si>
  <si>
    <t>3303211</t>
  </si>
  <si>
    <t>3303150</t>
  </si>
  <si>
    <t>2799511</t>
  </si>
  <si>
    <t>3303209</t>
  </si>
  <si>
    <t>3303177</t>
  </si>
  <si>
    <t>2302370</t>
  </si>
  <si>
    <t>2302362</t>
  </si>
  <si>
    <t>3303281</t>
  </si>
  <si>
    <t>3303148</t>
  </si>
  <si>
    <t>3023197</t>
  </si>
  <si>
    <t>3010452</t>
  </si>
  <si>
    <t>3768741</t>
  </si>
  <si>
    <t>2981158</t>
  </si>
  <si>
    <t>2308050</t>
  </si>
  <si>
    <t>2824959</t>
  </si>
  <si>
    <t>2851675</t>
  </si>
  <si>
    <t>3573055RL</t>
  </si>
  <si>
    <t>LCSC</t>
  </si>
  <si>
    <t>C415373</t>
  </si>
  <si>
    <t>C335103</t>
  </si>
  <si>
    <t>C76931</t>
  </si>
  <si>
    <t>C165948</t>
  </si>
  <si>
    <t>C242159</t>
  </si>
  <si>
    <t>C717002</t>
  </si>
  <si>
    <t>C713500</t>
  </si>
  <si>
    <t>C2683750</t>
  </si>
  <si>
    <t>Mouser</t>
  </si>
  <si>
    <t>81GRM155C81C225KE1D</t>
  </si>
  <si>
    <t>81GRM188R61C475ME1D</t>
  </si>
  <si>
    <t>74TMCJ0J106MTRF</t>
  </si>
  <si>
    <t>81GRM033C80J105ME5D</t>
  </si>
  <si>
    <t>81GRM035R60J475ME5D</t>
  </si>
  <si>
    <t>81GRM33R60J224KE15D</t>
  </si>
  <si>
    <t>771PMEG2010BELD,315</t>
  </si>
  <si>
    <t>696SMLLX0201USBCTR</t>
  </si>
  <si>
    <t>696SMLLX0201UPGCTR</t>
  </si>
  <si>
    <t>667ERJ1GNJ222C</t>
  </si>
  <si>
    <t>667ERJ1GNJ103C</t>
  </si>
  <si>
    <t>667ERJ1GN0R00C</t>
  </si>
  <si>
    <t>667ERJ1GNJ220C</t>
  </si>
  <si>
    <t>667ERJ1GNJ152C</t>
  </si>
  <si>
    <t>667ERJ1GNF2002C</t>
  </si>
  <si>
    <t>667ERJ1GNF1002C</t>
  </si>
  <si>
    <t>667ERJ1GNJ512C</t>
  </si>
  <si>
    <t>667ERJ1GNJ101C</t>
  </si>
  <si>
    <t>611KXT311LHS</t>
  </si>
  <si>
    <t>863NCP115AMX120TCG</t>
  </si>
  <si>
    <t>842ICE40UP5KSG48I</t>
  </si>
  <si>
    <t>863NCP167AMX330TBG</t>
  </si>
  <si>
    <t>59574CBTD16211DGVR</t>
  </si>
  <si>
    <t>841SGTL5000XNLA3</t>
  </si>
  <si>
    <t>863NUF2042XV6T1G</t>
  </si>
  <si>
    <t>579MCP6H01TE/OT</t>
  </si>
  <si>
    <t>815ASCO24EKT3</t>
  </si>
  <si>
    <t>Newark</t>
  </si>
  <si>
    <t>92AH5000</t>
  </si>
  <si>
    <t>92AH5109</t>
  </si>
  <si>
    <t>56Y0084</t>
  </si>
  <si>
    <t>03AJ1531</t>
  </si>
  <si>
    <t>34AH0743</t>
  </si>
  <si>
    <t>94AC8892</t>
  </si>
  <si>
    <t>55W4407</t>
  </si>
  <si>
    <t>30AC6125</t>
  </si>
  <si>
    <t>30AC6124</t>
  </si>
  <si>
    <t>51W5827</t>
  </si>
  <si>
    <t>23AC4811</t>
  </si>
  <si>
    <t>51W5934</t>
  </si>
  <si>
    <t>51W5825</t>
  </si>
  <si>
    <t>51W5799</t>
  </si>
  <si>
    <t>36AJ9148</t>
  </si>
  <si>
    <t>05X8796</t>
  </si>
  <si>
    <t>51W5889</t>
  </si>
  <si>
    <t>51W5773</t>
  </si>
  <si>
    <t>35AH1367</t>
  </si>
  <si>
    <t>97AC7838</t>
  </si>
  <si>
    <t>50AJ3298</t>
  </si>
  <si>
    <t>84AC7230</t>
  </si>
  <si>
    <t>14R9111</t>
  </si>
  <si>
    <t>46AC1428</t>
  </si>
  <si>
    <t>55AC2730</t>
  </si>
  <si>
    <t>89AH0815</t>
  </si>
  <si>
    <t>RS Components</t>
  </si>
  <si>
    <t>1882240</t>
  </si>
  <si>
    <t>1852023</t>
  </si>
  <si>
    <t>1797128</t>
  </si>
  <si>
    <t>1797135</t>
  </si>
  <si>
    <t>1763574</t>
  </si>
  <si>
    <t>1797145</t>
  </si>
  <si>
    <t>1763597</t>
  </si>
  <si>
    <t>1797129</t>
  </si>
  <si>
    <t>1861527</t>
  </si>
  <si>
    <t>1859325</t>
  </si>
  <si>
    <t>8051879</t>
  </si>
  <si>
    <t>1773191</t>
  </si>
  <si>
    <t>TME</t>
  </si>
  <si>
    <t>SMLLX0201USBCTR</t>
  </si>
  <si>
    <t>SMLLX0201UPGCTR</t>
  </si>
  <si>
    <t>MCP6H01TE/OT</t>
  </si>
  <si>
    <t>KiCost® v.1.1.5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</si>
</sst>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55C81C225KE11D" TargetMode="External"/><Relationship Id="rId2" Type="http://schemas.openxmlformats.org/officeDocument/2006/relationships/hyperlink" Target="https://octopart.com/click/track?ai=8078&amp;sig=0b165bb&amp;sid=459&amp;ppid=46692789&amp;vpid=410305221&amp;ct=offers" TargetMode="External"/><Relationship Id="rId3" Type="http://schemas.openxmlformats.org/officeDocument/2006/relationships/hyperlink" Target="https://octopart.com/click/track?ai=8078&amp;sig=0d8f33b&amp;sid=11744&amp;ppid=46692789&amp;vpid=667012154&amp;ct=offers" TargetMode="External"/><Relationship Id="rId4" Type="http://schemas.openxmlformats.org/officeDocument/2006/relationships/hyperlink" Target="https://octopart.com/click/track?ai=8078&amp;sig=0cdb919&amp;sid=2401&amp;ppid=46692789&amp;vpid=230758256&amp;ct=offers" TargetMode="External"/><Relationship Id="rId5" Type="http://schemas.openxmlformats.org/officeDocument/2006/relationships/hyperlink" Target="https://octopart.com/click/track?ai=8078&amp;sig=0849c23&amp;sid=2402&amp;ppid=46692789&amp;vpid=669036303&amp;ct=offers" TargetMode="External"/><Relationship Id="rId6" Type="http://schemas.openxmlformats.org/officeDocument/2006/relationships/hyperlink" Target="https://www.murata.com/products/productdetail.aspx?partno=GRM188R61C475ME11D" TargetMode="External"/><Relationship Id="rId7" Type="http://schemas.openxmlformats.org/officeDocument/2006/relationships/hyperlink" Target="https://octopart.com/click/track?c=1&amp;ai=8078&amp;sig=0445c4b&amp;sid=459&amp;ppid=46693351&amp;vpid=410305374&amp;ct=offers" TargetMode="External"/><Relationship Id="rId8" Type="http://schemas.openxmlformats.org/officeDocument/2006/relationships/hyperlink" Target="https://octopart.com/click/track?ai=8078&amp;sig=0e88e51&amp;sid=11744&amp;ppid=46693351&amp;vpid=667012264&amp;ct=offers" TargetMode="External"/><Relationship Id="rId9" Type="http://schemas.openxmlformats.org/officeDocument/2006/relationships/hyperlink" Target="https://octopart.com/click/track?ai=8078&amp;sig=09b8947&amp;sid=27971&amp;ppid=46693351&amp;vpid=583025469&amp;ct=offers" TargetMode="External"/><Relationship Id="rId10" Type="http://schemas.openxmlformats.org/officeDocument/2006/relationships/hyperlink" Target="https://octopart.com/click/track?ai=8078&amp;sig=0769423&amp;sid=2401&amp;ppid=46693351&amp;vpid=238592031&amp;ct=offers" TargetMode="External"/><Relationship Id="rId11" Type="http://schemas.openxmlformats.org/officeDocument/2006/relationships/hyperlink" Target="https://octopart.com/click/track?ai=8078&amp;sig=07b4992&amp;sid=2402&amp;ppid=46693351&amp;vpid=669036411&amp;ct=offers" TargetMode="External"/><Relationship Id="rId12" Type="http://schemas.openxmlformats.org/officeDocument/2006/relationships/hyperlink" Target="https://www.vishay.com/docs/40176/tmcj.pdf" TargetMode="External"/><Relationship Id="rId13" Type="http://schemas.openxmlformats.org/officeDocument/2006/relationships/hyperlink" Target="https://octopart.com/click/track?c=1&amp;ai=8078&amp;sig=0f93a07&amp;sid=459&amp;ppid=51468669&amp;vpid=542012103&amp;ct=offers" TargetMode="External"/><Relationship Id="rId14" Type="http://schemas.openxmlformats.org/officeDocument/2006/relationships/hyperlink" Target="https://octopart.com/click/track?c=1&amp;ai=8078&amp;sig=0142d8e&amp;sid=819&amp;ppid=51468669&amp;vpid=227400135&amp;ct=offers" TargetMode="External"/><Relationship Id="rId15" Type="http://schemas.openxmlformats.org/officeDocument/2006/relationships/hyperlink" Target="https://octopart.com/click/track?ai=8078&amp;sig=043ec4f&amp;sid=2401&amp;ppid=51468669&amp;vpid=222364962&amp;ct=offers" TargetMode="External"/><Relationship Id="rId16" Type="http://schemas.openxmlformats.org/officeDocument/2006/relationships/hyperlink" Target="https://octopart.com/click/track?c=1&amp;ai=8078&amp;sig=01aab72&amp;sid=2402&amp;ppid=51468669&amp;vpid=228374112&amp;ct=offers" TargetMode="External"/><Relationship Id="rId17" Type="http://schemas.openxmlformats.org/officeDocument/2006/relationships/hyperlink" Target="https://octopart.com/click/track?ai=8078&amp;sig=074f439&amp;sid=10022&amp;ppid=51468669&amp;vpid=562995447&amp;ct=offers" TargetMode="External"/><Relationship Id="rId18" Type="http://schemas.openxmlformats.org/officeDocument/2006/relationships/hyperlink" Target="https://www.murata.com/products/productdetail.aspx?partno=GRM033C80J105ME05D" TargetMode="External"/><Relationship Id="rId19" Type="http://schemas.openxmlformats.org/officeDocument/2006/relationships/hyperlink" Target="https://octopart.com/click/track?ai=8078&amp;sig=0dd2dd5&amp;sid=459&amp;ppid=71220979&amp;vpid=252726184&amp;ct=offers" TargetMode="External"/><Relationship Id="rId20" Type="http://schemas.openxmlformats.org/officeDocument/2006/relationships/hyperlink" Target="https://octopart.com/click/track?c=1&amp;ai=8078&amp;sig=013a2f0&amp;sid=819&amp;ppid=71220979&amp;vpid=670691828&amp;ct=offers" TargetMode="External"/><Relationship Id="rId21" Type="http://schemas.openxmlformats.org/officeDocument/2006/relationships/hyperlink" Target="https://octopart.com/click/track?c=1&amp;ai=8078&amp;sig=0ba034f&amp;sid=2401&amp;ppid=71220979&amp;vpid=262231651&amp;ct=offers" TargetMode="External"/><Relationship Id="rId22" Type="http://schemas.openxmlformats.org/officeDocument/2006/relationships/hyperlink" Target="https://octopart.com/click/track?c=1&amp;ai=8078&amp;sig=0e14f17&amp;sid=2402&amp;ppid=71220979&amp;vpid=671481163&amp;ct=offers" TargetMode="External"/><Relationship Id="rId23" Type="http://schemas.openxmlformats.org/officeDocument/2006/relationships/hyperlink" Target="https://www.murata.com/products/productdetail.aspx?partno=GRM035R60J475ME15D" TargetMode="External"/><Relationship Id="rId24" Type="http://schemas.openxmlformats.org/officeDocument/2006/relationships/hyperlink" Target="https://octopart.com/click/track?ai=8078&amp;sig=02d1bd9&amp;sid=459&amp;ppid=67141176&amp;vpid=252726416&amp;ct=offers" TargetMode="External"/><Relationship Id="rId25" Type="http://schemas.openxmlformats.org/officeDocument/2006/relationships/hyperlink" Target="https://octopart.com/click/track?ai=8078&amp;sig=087aedd&amp;sid=11744&amp;ppid=67141176&amp;vpid=585909672&amp;ct=offers" TargetMode="External"/><Relationship Id="rId26" Type="http://schemas.openxmlformats.org/officeDocument/2006/relationships/hyperlink" Target="https://octopart.com/click/track?ai=8078&amp;sig=0ec1763&amp;sid=27971&amp;ppid=67141176&amp;vpid=510777411&amp;ct=offers" TargetMode="External"/><Relationship Id="rId27" Type="http://schemas.openxmlformats.org/officeDocument/2006/relationships/hyperlink" Target="https://octopart.com/click/track?ai=8078&amp;sig=0e8e022&amp;sid=2401&amp;ppid=67141176&amp;vpid=262254328&amp;ct=offers" TargetMode="External"/><Relationship Id="rId28" Type="http://schemas.openxmlformats.org/officeDocument/2006/relationships/hyperlink" Target="https://octopart.com/click/track?ai=8078&amp;sig=02cfcbc&amp;sid=2402&amp;ppid=67141176&amp;vpid=587966703&amp;ct=offers" TargetMode="External"/><Relationship Id="rId29" Type="http://schemas.openxmlformats.org/officeDocument/2006/relationships/hyperlink" Target="https://www.murata.com/products/productdetail.aspx?partno=GRM033R60J224KE15D" TargetMode="External"/><Relationship Id="rId30" Type="http://schemas.openxmlformats.org/officeDocument/2006/relationships/hyperlink" Target="https://octopart.com/click/track?ai=8078&amp;sig=0492ec2&amp;sid=459&amp;ppid=51454422&amp;vpid=172161550&amp;ct=offers" TargetMode="External"/><Relationship Id="rId31" Type="http://schemas.openxmlformats.org/officeDocument/2006/relationships/hyperlink" Target="https://octopart.com/click/track?ai=8078&amp;sig=00c315f&amp;sid=11744&amp;ppid=51454422&amp;vpid=528084476&amp;ct=offers" TargetMode="External"/><Relationship Id="rId32" Type="http://schemas.openxmlformats.org/officeDocument/2006/relationships/hyperlink" Target="https://octopart.com/click/track?ai=8078&amp;sig=0f2788c&amp;sid=27971&amp;ppid=51454422&amp;vpid=445986847&amp;ct=offers" TargetMode="External"/><Relationship Id="rId33" Type="http://schemas.openxmlformats.org/officeDocument/2006/relationships/hyperlink" Target="https://octopart.com/click/track?ai=8078&amp;sig=0207666&amp;sid=2401&amp;ppid=51454422&amp;vpid=178169497&amp;ct=offers" TargetMode="External"/><Relationship Id="rId34" Type="http://schemas.openxmlformats.org/officeDocument/2006/relationships/hyperlink" Target="https://octopart.com/click/track?ai=8078&amp;sig=0d37eed&amp;sid=2402&amp;ppid=51454422&amp;vpid=529126546&amp;ct=offers" TargetMode="External"/><Relationship Id="rId35" Type="http://schemas.openxmlformats.org/officeDocument/2006/relationships/hyperlink" Target="https://octopart.com/click/track?ai=8078&amp;sig=0fe5791&amp;sid=10022&amp;ppid=51454422&amp;vpid=562632809&amp;ct=offers" TargetMode="External"/><Relationship Id="rId36" Type="http://schemas.openxmlformats.org/officeDocument/2006/relationships/hyperlink" Target="https://assets.nexperia.com/documents/data-sheet/PMEG2010BELD.pdf" TargetMode="External"/><Relationship Id="rId37" Type="http://schemas.openxmlformats.org/officeDocument/2006/relationships/hyperlink" Target="https://octopart.com/click/track?ai=8078&amp;sig=05f022d&amp;sid=459&amp;ppid=78741408&amp;vpid=417205872&amp;ct=offers" TargetMode="External"/><Relationship Id="rId38" Type="http://schemas.openxmlformats.org/officeDocument/2006/relationships/hyperlink" Target="https://octopart.com/click/track?c=1&amp;ai=8078&amp;sig=0ee080b&amp;sid=819&amp;ppid=78741408&amp;vpid=521253387&amp;ct=offers" TargetMode="External"/><Relationship Id="rId39" Type="http://schemas.openxmlformats.org/officeDocument/2006/relationships/hyperlink" Target="https://octopart.com/click/track?ai=8078&amp;sig=077655c&amp;sid=2401&amp;ppid=78741408&amp;vpid=416182007&amp;ct=offers" TargetMode="External"/><Relationship Id="rId40" Type="http://schemas.openxmlformats.org/officeDocument/2006/relationships/hyperlink" Target="https://octopart.com/click/track?c=1&amp;ai=8078&amp;sig=03a6e2e&amp;sid=2402&amp;ppid=78741408&amp;vpid=511382518&amp;ct=offers" TargetMode="External"/><Relationship Id="rId41" Type="http://schemas.openxmlformats.org/officeDocument/2006/relationships/hyperlink" Target="https://www.lumex.com/datasheet/SML-LX0201USBC-TR" TargetMode="External"/><Relationship Id="rId42" Type="http://schemas.openxmlformats.org/officeDocument/2006/relationships/hyperlink" Target="https://octopart.com/click/track?ai=8078&amp;sig=034beed&amp;sid=459&amp;ppid=84788744&amp;vpid=439727366&amp;ct=offers" TargetMode="External"/><Relationship Id="rId43" Type="http://schemas.openxmlformats.org/officeDocument/2006/relationships/hyperlink" Target="https://octopart.com/click/track?ai=8078&amp;sig=0ff9f3f&amp;sid=11744&amp;ppid=84788744&amp;vpid=441493967&amp;ct=offers" TargetMode="External"/><Relationship Id="rId44" Type="http://schemas.openxmlformats.org/officeDocument/2006/relationships/hyperlink" Target="https://octopart.com/click/track?ai=8078&amp;sig=0210f61&amp;sid=2401&amp;ppid=84788744&amp;vpid=440311376&amp;ct=offers" TargetMode="External"/><Relationship Id="rId45" Type="http://schemas.openxmlformats.org/officeDocument/2006/relationships/hyperlink" Target="https://octopart.com/click/track?ai=8078&amp;sig=0a83003&amp;sid=2402&amp;ppid=84788744&amp;vpid=441141495&amp;ct=offers" TargetMode="External"/><Relationship Id="rId46" Type="http://schemas.openxmlformats.org/officeDocument/2006/relationships/hyperlink" Target="https://octopart.com/click/track?ai=8078&amp;sig=0d0b0e0&amp;sid=1532&amp;ppid=84788744&amp;vpid=709065381&amp;ct=offers" TargetMode="External"/><Relationship Id="rId47" Type="http://schemas.openxmlformats.org/officeDocument/2006/relationships/hyperlink" Target="https://www.lumex.com/datasheet/SML-LX0201UPGC-TR" TargetMode="External"/><Relationship Id="rId48" Type="http://schemas.openxmlformats.org/officeDocument/2006/relationships/hyperlink" Target="https://octopart.com/click/track?ai=8078&amp;sig=055564d&amp;sid=459&amp;ppid=84788743&amp;vpid=439727363&amp;ct=offers" TargetMode="External"/><Relationship Id="rId49" Type="http://schemas.openxmlformats.org/officeDocument/2006/relationships/hyperlink" Target="https://octopart.com/click/track?ai=8078&amp;sig=0fcbf2b&amp;sid=819&amp;ppid=84788743&amp;vpid=441301075&amp;ct=offers" TargetMode="External"/><Relationship Id="rId50" Type="http://schemas.openxmlformats.org/officeDocument/2006/relationships/hyperlink" Target="https://octopart.com/click/track?ai=8078&amp;sig=0bea5b7&amp;sid=2401&amp;ppid=84788743&amp;vpid=440311375&amp;ct=offers" TargetMode="External"/><Relationship Id="rId51" Type="http://schemas.openxmlformats.org/officeDocument/2006/relationships/hyperlink" Target="https://octopart.com/click/track?ai=8078&amp;sig=00c45d4&amp;sid=2402&amp;ppid=84788743&amp;vpid=441141494&amp;ct=offers" TargetMode="External"/><Relationship Id="rId52" Type="http://schemas.openxmlformats.org/officeDocument/2006/relationships/hyperlink" Target="https://octopart.com/click/track?ai=8078&amp;sig=0371ed3&amp;sid=1532&amp;ppid=84788743&amp;vpid=709065379&amp;ct=offers" TargetMode="External"/><Relationship Id="rId53" Type="http://schemas.openxmlformats.org/officeDocument/2006/relationships/hyperlink" Target="http://www.krhro.com/uploads/soft/180320/1-1P320120243.pdf" TargetMode="External"/><Relationship Id="rId54" Type="http://schemas.openxmlformats.org/officeDocument/2006/relationships/hyperlink" Target="https://octopart.com/click/track?ai=8078&amp;sig=0bf3cd2&amp;sid=27971&amp;ppid=99357592&amp;vpid=531406307&amp;ct=offers" TargetMode="External"/><Relationship Id="rId55" Type="http://schemas.openxmlformats.org/officeDocument/2006/relationships/hyperlink" Target="https://industrial.panasonic.com/ww/products/pt/general-purpose-chip-resistors/models/ERJ1GNJ222C" TargetMode="External"/><Relationship Id="rId56" Type="http://schemas.openxmlformats.org/officeDocument/2006/relationships/hyperlink" Target="https://octopart.com/click/track?ai=8078&amp;sig=0fe0904&amp;sid=459&amp;ppid=44403350&amp;vpid=465235292&amp;ct=offers" TargetMode="External"/><Relationship Id="rId57" Type="http://schemas.openxmlformats.org/officeDocument/2006/relationships/hyperlink" Target="https://octopart.com/click/track?c=1&amp;ai=8078&amp;sig=098df08&amp;sid=819&amp;ppid=44403350&amp;vpid=603690887&amp;ct=offers" TargetMode="External"/><Relationship Id="rId58" Type="http://schemas.openxmlformats.org/officeDocument/2006/relationships/hyperlink" Target="https://octopart.com/click/track?ai=8078&amp;sig=07d1d1b&amp;sid=2401&amp;ppid=44403350&amp;vpid=248150297&amp;ct=offers" TargetMode="External"/><Relationship Id="rId59" Type="http://schemas.openxmlformats.org/officeDocument/2006/relationships/hyperlink" Target="https://octopart.com/click/track?c=1&amp;ai=8078&amp;sig=01bc52e&amp;sid=2402&amp;ppid=44403350&amp;vpid=632042349&amp;ct=offers" TargetMode="External"/><Relationship Id="rId60" Type="http://schemas.openxmlformats.org/officeDocument/2006/relationships/hyperlink" Target="https://octopart.com/click/track?ai=8078&amp;sig=0a098df&amp;sid=10022&amp;ppid=44403350&amp;vpid=577025041&amp;ct=offers" TargetMode="External"/><Relationship Id="rId61" Type="http://schemas.openxmlformats.org/officeDocument/2006/relationships/hyperlink" Target="https://industrial.panasonic.com/ww/products/pt/general-purpose-chip-resistors/models/ERJ1GNJ103C" TargetMode="External"/><Relationship Id="rId62" Type="http://schemas.openxmlformats.org/officeDocument/2006/relationships/hyperlink" Target="https://octopart.com/click/track?ai=8078&amp;sig=0301d78&amp;sid=459&amp;ppid=44322539&amp;vpid=465235182&amp;ct=offers" TargetMode="External"/><Relationship Id="rId63" Type="http://schemas.openxmlformats.org/officeDocument/2006/relationships/hyperlink" Target="https://octopart.com/click/track?c=1&amp;ai=8078&amp;sig=0fd9335&amp;sid=819&amp;ppid=44322539&amp;vpid=603690832&amp;ct=offers" TargetMode="External"/><Relationship Id="rId64" Type="http://schemas.openxmlformats.org/officeDocument/2006/relationships/hyperlink" Target="https://octopart.com/click/track?ai=8078&amp;sig=06c973b&amp;sid=27971&amp;ppid=44322539&amp;vpid=495511688&amp;ct=offers" TargetMode="External"/><Relationship Id="rId65" Type="http://schemas.openxmlformats.org/officeDocument/2006/relationships/hyperlink" Target="https://octopart.com/click/track?ai=8078&amp;sig=0a64394&amp;sid=2401&amp;ppid=44322539&amp;vpid=120580014&amp;ct=offers" TargetMode="External"/><Relationship Id="rId66" Type="http://schemas.openxmlformats.org/officeDocument/2006/relationships/hyperlink" Target="https://octopart.com/click/track?c=1&amp;ai=8078&amp;sig=07aa8d7&amp;sid=2402&amp;ppid=44322539&amp;vpid=477474193&amp;ct=offers" TargetMode="External"/><Relationship Id="rId67" Type="http://schemas.openxmlformats.org/officeDocument/2006/relationships/hyperlink" Target="https://octopart.com/click/track?ai=8078&amp;sig=0c48158&amp;sid=10022&amp;ppid=44322539&amp;vpid=577025032&amp;ct=offers" TargetMode="External"/><Relationship Id="rId68" Type="http://schemas.openxmlformats.org/officeDocument/2006/relationships/hyperlink" Target="https://industrial.panasonic.com/ww/products/pt/general-purpose-chip-resistors/models/ERJ1GN0R00C" TargetMode="External"/><Relationship Id="rId69" Type="http://schemas.openxmlformats.org/officeDocument/2006/relationships/hyperlink" Target="https://octopart.com/click/track?c=1&amp;ai=8078&amp;sig=0d55330&amp;sid=459&amp;ppid=16432844&amp;vpid=73994004&amp;ct=offers" TargetMode="External"/><Relationship Id="rId70" Type="http://schemas.openxmlformats.org/officeDocument/2006/relationships/hyperlink" Target="https://octopart.com/click/track?c=1&amp;ai=8078&amp;sig=0993eba&amp;sid=11744&amp;ppid=16432844&amp;vpid=709673718&amp;ct=offers" TargetMode="External"/><Relationship Id="rId71" Type="http://schemas.openxmlformats.org/officeDocument/2006/relationships/hyperlink" Target="https://octopart.com/click/track?c=1&amp;ai=8078&amp;sig=09308bd&amp;sid=2401&amp;ppid=16432844&amp;vpid=41840075&amp;ct=offers" TargetMode="External"/><Relationship Id="rId72" Type="http://schemas.openxmlformats.org/officeDocument/2006/relationships/hyperlink" Target="https://octopart.com/click/track?ai=8078&amp;sig=03714c0&amp;sid=2402&amp;ppid=16432844&amp;vpid=87993748&amp;ct=offers" TargetMode="External"/><Relationship Id="rId73" Type="http://schemas.openxmlformats.org/officeDocument/2006/relationships/hyperlink" Target="https://octopart.com/click/track?ai=8078&amp;sig=0514af3&amp;sid=10022&amp;ppid=16432844&amp;vpid=501237969&amp;ct=offers" TargetMode="External"/><Relationship Id="rId74" Type="http://schemas.openxmlformats.org/officeDocument/2006/relationships/hyperlink" Target="https://industrial.panasonic.com/ww/products/pt/general-purpose-chip-resistors/models/ERJ1GNJ220C" TargetMode="External"/><Relationship Id="rId75" Type="http://schemas.openxmlformats.org/officeDocument/2006/relationships/hyperlink" Target="https://octopart.com/click/track?c=1&amp;ai=8078&amp;sig=04cd504&amp;sid=459&amp;ppid=42505965&amp;vpid=465235288&amp;ct=offers" TargetMode="External"/><Relationship Id="rId76" Type="http://schemas.openxmlformats.org/officeDocument/2006/relationships/hyperlink" Target="https://octopart.com/click/track?c=1&amp;ai=8078&amp;sig=0433a1d&amp;sid=819&amp;ppid=42505965&amp;vpid=603690885&amp;ct=offers" TargetMode="External"/><Relationship Id="rId77" Type="http://schemas.openxmlformats.org/officeDocument/2006/relationships/hyperlink" Target="https://octopart.com/click/track?ai=8078&amp;sig=0d716f6&amp;sid=2401&amp;ppid=42505965&amp;vpid=165486571&amp;ct=offers" TargetMode="External"/><Relationship Id="rId78" Type="http://schemas.openxmlformats.org/officeDocument/2006/relationships/hyperlink" Target="https://octopart.com/click/track?c=1&amp;ai=8078&amp;sig=0965e6c&amp;sid=2402&amp;ppid=42505965&amp;vpid=524371516&amp;ct=offers" TargetMode="External"/><Relationship Id="rId79" Type="http://schemas.openxmlformats.org/officeDocument/2006/relationships/hyperlink" Target="https://industrial.panasonic.com/ww/products/pt/general-purpose-chip-resistors/models/ERJ1GNJ152C" TargetMode="External"/><Relationship Id="rId80" Type="http://schemas.openxmlformats.org/officeDocument/2006/relationships/hyperlink" Target="https://octopart.com/click/track?ai=8078&amp;sig=06f5537&amp;sid=459&amp;ppid=55940368&amp;vpid=465235230&amp;ct=offers" TargetMode="External"/><Relationship Id="rId81" Type="http://schemas.openxmlformats.org/officeDocument/2006/relationships/hyperlink" Target="https://octopart.com/click/track?c=1&amp;ai=8078&amp;sig=031cc2c&amp;sid=819&amp;ppid=55940368&amp;vpid=603690856&amp;ct=offers" TargetMode="External"/><Relationship Id="rId82" Type="http://schemas.openxmlformats.org/officeDocument/2006/relationships/hyperlink" Target="https://octopart.com/click/track?ai=8078&amp;sig=01a465a&amp;sid=2401&amp;ppid=55940368&amp;vpid=165486557&amp;ct=offers" TargetMode="External"/><Relationship Id="rId83" Type="http://schemas.openxmlformats.org/officeDocument/2006/relationships/hyperlink" Target="https://octopart.com/click/track?c=1&amp;ai=8078&amp;sig=0e5d5c9&amp;sid=2402&amp;ppid=55940368&amp;vpid=192308633&amp;ct=offers" TargetMode="External"/><Relationship Id="rId84" Type="http://schemas.openxmlformats.org/officeDocument/2006/relationships/hyperlink" Target="https://octopart.com/click/track?ai=8078&amp;sig=08f769b&amp;sid=10022&amp;ppid=55940368&amp;vpid=577025035&amp;ct=offers" TargetMode="External"/><Relationship Id="rId85" Type="http://schemas.openxmlformats.org/officeDocument/2006/relationships/hyperlink" Target="https://industrial.panasonic.com/ww/products/pt/general-purpose-chip-resistors/models/ERJ1GNF2002C" TargetMode="External"/><Relationship Id="rId86" Type="http://schemas.openxmlformats.org/officeDocument/2006/relationships/hyperlink" Target="https://octopart.com/click/track?c=1&amp;ai=8078&amp;sig=0a2fed8&amp;sid=459&amp;ppid=55419770&amp;vpid=465234364&amp;ct=offers" TargetMode="External"/><Relationship Id="rId87" Type="http://schemas.openxmlformats.org/officeDocument/2006/relationships/hyperlink" Target="https://octopart.com/click/track?c=1&amp;ai=8078&amp;sig=02957f8&amp;sid=819&amp;ppid=55419770&amp;vpid=139309800&amp;ct=offers" TargetMode="External"/><Relationship Id="rId88" Type="http://schemas.openxmlformats.org/officeDocument/2006/relationships/hyperlink" Target="https://octopart.com/click/track?ai=8078&amp;sig=05e6940&amp;sid=2401&amp;ppid=55419770&amp;vpid=193534025&amp;ct=offers" TargetMode="External"/><Relationship Id="rId89" Type="http://schemas.openxmlformats.org/officeDocument/2006/relationships/hyperlink" Target="https://octopart.com/click/track?c=1&amp;ai=8078&amp;sig=04e76a3&amp;sid=2402&amp;ppid=55419770&amp;vpid=708013514&amp;ct=offers" TargetMode="External"/><Relationship Id="rId90" Type="http://schemas.openxmlformats.org/officeDocument/2006/relationships/hyperlink" Target="https://industrial.panasonic.com/ww/products/pt/general-purpose-chip-resistors/models/ERJ1GNF1002C" TargetMode="External"/><Relationship Id="rId91" Type="http://schemas.openxmlformats.org/officeDocument/2006/relationships/hyperlink" Target="https://octopart.com/click/track?ai=8078&amp;sig=08a096a&amp;sid=459&amp;ppid=55419697&amp;vpid=436711940&amp;ct=offers" TargetMode="External"/><Relationship Id="rId92" Type="http://schemas.openxmlformats.org/officeDocument/2006/relationships/hyperlink" Target="https://octopart.com/click/track?ai=8078&amp;sig=0f0932e&amp;sid=11744&amp;ppid=55419697&amp;vpid=132575573&amp;ct=offers" TargetMode="External"/><Relationship Id="rId93" Type="http://schemas.openxmlformats.org/officeDocument/2006/relationships/hyperlink" Target="https://octopart.com/click/track?ai=8078&amp;sig=02e7488&amp;sid=27971&amp;ppid=55419697&amp;vpid=669037554&amp;ct=offers" TargetMode="External"/><Relationship Id="rId94" Type="http://schemas.openxmlformats.org/officeDocument/2006/relationships/hyperlink" Target="https://octopart.com/click/track?ai=8078&amp;sig=08e4731&amp;sid=2401&amp;ppid=55419697&amp;vpid=189037115&amp;ct=offers" TargetMode="External"/><Relationship Id="rId95" Type="http://schemas.openxmlformats.org/officeDocument/2006/relationships/hyperlink" Target="https://octopart.com/click/track?ai=8078&amp;sig=0320500&amp;sid=2402&amp;ppid=55419697&amp;vpid=190850887&amp;ct=offers" TargetMode="External"/><Relationship Id="rId96" Type="http://schemas.openxmlformats.org/officeDocument/2006/relationships/hyperlink" Target="https://octopart.com/click/track?ai=8078&amp;sig=0924ec2&amp;sid=10022&amp;ppid=55419697&amp;vpid=501237973&amp;ct=offers" TargetMode="External"/><Relationship Id="rId97" Type="http://schemas.openxmlformats.org/officeDocument/2006/relationships/hyperlink" Target="https://industrial.panasonic.com/ww/products/pt/general-purpose-chip-resistors/models/ERJ1GNJ512C" TargetMode="External"/><Relationship Id="rId98" Type="http://schemas.openxmlformats.org/officeDocument/2006/relationships/hyperlink" Target="https://octopart.com/click/track?ai=8078&amp;sig=0dd36dc&amp;sid=459&amp;ppid=66942597&amp;vpid=465235418&amp;ct=offers" TargetMode="External"/><Relationship Id="rId99" Type="http://schemas.openxmlformats.org/officeDocument/2006/relationships/hyperlink" Target="https://octopart.com/click/track?c=1&amp;ai=8078&amp;sig=01b939b&amp;sid=819&amp;ppid=66942597&amp;vpid=603690950&amp;ct=offers" TargetMode="External"/><Relationship Id="rId100" Type="http://schemas.openxmlformats.org/officeDocument/2006/relationships/hyperlink" Target="https://octopart.com/click/track?ai=8078&amp;sig=07a33f5&amp;sid=2401&amp;ppid=66942597&amp;vpid=265943161&amp;ct=offers" TargetMode="External"/><Relationship Id="rId101" Type="http://schemas.openxmlformats.org/officeDocument/2006/relationships/hyperlink" Target="https://octopart.com/click/track?c=1&amp;ai=8078&amp;sig=0cb0675&amp;sid=2402&amp;ppid=66942597&amp;vpid=669843420&amp;ct=offers" TargetMode="External"/><Relationship Id="rId102" Type="http://schemas.openxmlformats.org/officeDocument/2006/relationships/hyperlink" Target="https://industrial.panasonic.com/ww/products/pt/general-purpose-chip-resistors/models/ERJ1GNJ101C" TargetMode="External"/><Relationship Id="rId103" Type="http://schemas.openxmlformats.org/officeDocument/2006/relationships/hyperlink" Target="https://octopart.com/click/track?ai=8078&amp;sig=080fecf&amp;sid=459&amp;ppid=44403300&amp;vpid=465235178&amp;ct=offers" TargetMode="External"/><Relationship Id="rId104" Type="http://schemas.openxmlformats.org/officeDocument/2006/relationships/hyperlink" Target="https://octopart.com/click/track?c=1&amp;ai=8078&amp;sig=0b30f5a&amp;sid=819&amp;ppid=44403300&amp;vpid=603690830&amp;ct=offers" TargetMode="External"/><Relationship Id="rId105" Type="http://schemas.openxmlformats.org/officeDocument/2006/relationships/hyperlink" Target="https://octopart.com/click/track?ai=8078&amp;sig=08d00b1&amp;sid=27971&amp;ppid=44403300&amp;vpid=669037577&amp;ct=offers" TargetMode="External"/><Relationship Id="rId106" Type="http://schemas.openxmlformats.org/officeDocument/2006/relationships/hyperlink" Target="https://octopart.com/click/track?ai=8078&amp;sig=0e9f721&amp;sid=2401&amp;ppid=44403300&amp;vpid=165486549&amp;ct=offers" TargetMode="External"/><Relationship Id="rId107" Type="http://schemas.openxmlformats.org/officeDocument/2006/relationships/hyperlink" Target="https://octopart.com/click/track?c=1&amp;ai=8078&amp;sig=0f3777c&amp;sid=2402&amp;ppid=44403300&amp;vpid=166626673&amp;ct=offers" TargetMode="External"/><Relationship Id="rId108" Type="http://schemas.openxmlformats.org/officeDocument/2006/relationships/hyperlink" Target="https://octopart.com/click/track?ai=8078&amp;sig=0e76548&amp;sid=10022&amp;ppid=44403300&amp;vpid=577025029&amp;ct=offers" TargetMode="External"/><Relationship Id="rId109" Type="http://schemas.openxmlformats.org/officeDocument/2006/relationships/hyperlink" Target="https://www.ckswitches.com/media/1465/kxt3.pdf" TargetMode="External"/><Relationship Id="rId110" Type="http://schemas.openxmlformats.org/officeDocument/2006/relationships/hyperlink" Target="https://octopart.com/click/track?ai=8078&amp;sig=0455a70&amp;sid=459&amp;ppid=77815716&amp;vpid=409558688&amp;ct=offers" TargetMode="External"/><Relationship Id="rId111" Type="http://schemas.openxmlformats.org/officeDocument/2006/relationships/hyperlink" Target="https://octopart.com/click/track?ai=8078&amp;sig=0160c56&amp;sid=11744&amp;ppid=77815716&amp;vpid=573795781&amp;ct=offers" TargetMode="External"/><Relationship Id="rId112" Type="http://schemas.openxmlformats.org/officeDocument/2006/relationships/hyperlink" Target="https://octopart.com/click/track?ai=8078&amp;sig=0c19f51&amp;sid=2401&amp;ppid=77815716&amp;vpid=418675924&amp;ct=offers" TargetMode="External"/><Relationship Id="rId113" Type="http://schemas.openxmlformats.org/officeDocument/2006/relationships/hyperlink" Target="https://octopart.com/click/track?ai=8078&amp;sig=003f6a2&amp;sid=2402&amp;ppid=77815716&amp;vpid=587924507&amp;ct=offers" TargetMode="External"/><Relationship Id="rId114" Type="http://schemas.openxmlformats.org/officeDocument/2006/relationships/hyperlink" Target="https://www.onsemi.com/pdf/datasheet/ncp115-d.pdf" TargetMode="External"/><Relationship Id="rId115" Type="http://schemas.openxmlformats.org/officeDocument/2006/relationships/hyperlink" Target="https://octopart.com/click/track?ai=8078&amp;sig=0a3f4b6&amp;sid=459&amp;ppid=92380524&amp;vpid=530205177&amp;ct=offers" TargetMode="External"/><Relationship Id="rId116" Type="http://schemas.openxmlformats.org/officeDocument/2006/relationships/hyperlink" Target="https://octopart.com/click/track?ai=8078&amp;sig=05836ef&amp;sid=819&amp;ppid=92380524&amp;vpid=530799043&amp;ct=offers" TargetMode="External"/><Relationship Id="rId117" Type="http://schemas.openxmlformats.org/officeDocument/2006/relationships/hyperlink" Target="https://octopart.com/click/track?ai=8078&amp;sig=036a8af&amp;sid=2401&amp;ppid=92380524&amp;vpid=523401631&amp;ct=offers" TargetMode="External"/><Relationship Id="rId118" Type="http://schemas.openxmlformats.org/officeDocument/2006/relationships/hyperlink" Target="https://octopart.com/click/track?ai=8078&amp;sig=09fcc50&amp;sid=2402&amp;ppid=92380524&amp;vpid=531928826&amp;ct=offers" TargetMode="External"/><Relationship Id="rId119" Type="http://schemas.openxmlformats.org/officeDocument/2006/relationships/hyperlink" Target="https://octopart.com/click/track?ai=8078&amp;sig=074da9d&amp;sid=10022&amp;ppid=92380524&amp;vpid=562641107&amp;ct=offers" TargetMode="External"/><Relationship Id="rId120" Type="http://schemas.openxmlformats.org/officeDocument/2006/relationships/hyperlink" Target="http://www.latticesemi.com/Products/FPGAandCPLD/iCE40UltraPlus" TargetMode="External"/><Relationship Id="rId121" Type="http://schemas.openxmlformats.org/officeDocument/2006/relationships/hyperlink" Target="https://octopart.com/click/track?c=1&amp;ai=8078&amp;sig=08e94d1&amp;sid=459&amp;ppid=87369311&amp;vpid=495120370&amp;ct=offers" TargetMode="External"/><Relationship Id="rId122" Type="http://schemas.openxmlformats.org/officeDocument/2006/relationships/hyperlink" Target="https://octopart.com/click/track?c=1&amp;ai=8078&amp;sig=046bf45&amp;sid=819&amp;ppid=87369311&amp;vpid=718456045&amp;ct=offers" TargetMode="External"/><Relationship Id="rId123" Type="http://schemas.openxmlformats.org/officeDocument/2006/relationships/hyperlink" Target="https://octopart.com/click/track?ai=8078&amp;sig=00e2810&amp;sid=2401&amp;ppid=87369311&amp;vpid=477152809&amp;ct=offers" TargetMode="External"/><Relationship Id="rId124" Type="http://schemas.openxmlformats.org/officeDocument/2006/relationships/hyperlink" Target="https://octopart.com/click/track?c=1&amp;ai=8078&amp;sig=0c32068&amp;sid=2402&amp;ppid=87369311&amp;vpid=719396471&amp;ct=offers" TargetMode="External"/><Relationship Id="rId125" Type="http://schemas.openxmlformats.org/officeDocument/2006/relationships/hyperlink" Target="https://www.onsemi.com/pub/Collateral/NCP167-D.PDF" TargetMode="External"/><Relationship Id="rId126" Type="http://schemas.openxmlformats.org/officeDocument/2006/relationships/hyperlink" Target="https://octopart.com/click/track?c=1&amp;ai=8078&amp;sig=0d6401e&amp;sid=459&amp;ppid=85869721&amp;vpid=510801591&amp;ct=offers" TargetMode="External"/><Relationship Id="rId127" Type="http://schemas.openxmlformats.org/officeDocument/2006/relationships/hyperlink" Target="https://octopart.com/click/track?c=1&amp;ai=8078&amp;sig=0793e3e&amp;sid=819&amp;ppid=85869721&amp;vpid=521259823&amp;ct=offers" TargetMode="External"/><Relationship Id="rId128" Type="http://schemas.openxmlformats.org/officeDocument/2006/relationships/hyperlink" Target="https://octopart.com/click/track?ai=8078&amp;sig=093fed6&amp;sid=2401&amp;ppid=85869721&amp;vpid=480971673&amp;ct=offers" TargetMode="External"/><Relationship Id="rId129" Type="http://schemas.openxmlformats.org/officeDocument/2006/relationships/hyperlink" Target="https://octopart.com/click/track?c=1&amp;ai=8078&amp;sig=0620216&amp;sid=2402&amp;ppid=85869721&amp;vpid=530859240&amp;ct=offers" TargetMode="External"/><Relationship Id="rId130" Type="http://schemas.openxmlformats.org/officeDocument/2006/relationships/hyperlink" Target="https://octopart.com/click/track?ai=8078&amp;sig=0d86e14&amp;sid=10022&amp;ppid=85869721&amp;vpid=562641330&amp;ct=offers" TargetMode="External"/><Relationship Id="rId131" Type="http://schemas.openxmlformats.org/officeDocument/2006/relationships/hyperlink" Target="https://www.ti.com/lit/ds/symlink/sn74cbtd16211.pdf" TargetMode="External"/><Relationship Id="rId132" Type="http://schemas.openxmlformats.org/officeDocument/2006/relationships/hyperlink" Target="https://octopart.com/click/track?c=1&amp;ai=8078&amp;sig=0aac5c3&amp;sid=459&amp;ppid=472676&amp;vpid=1588405&amp;ct=offers" TargetMode="External"/><Relationship Id="rId133" Type="http://schemas.openxmlformats.org/officeDocument/2006/relationships/hyperlink" Target="https://octopart.com/click/track?ai=8078&amp;sig=0221cb4&amp;sid=27971&amp;ppid=472676&amp;vpid=696942338&amp;ct=offers" TargetMode="External"/><Relationship Id="rId134" Type="http://schemas.openxmlformats.org/officeDocument/2006/relationships/hyperlink" Target="https://octopart.com/click/track?ai=8078&amp;sig=0681b00&amp;sid=2401&amp;ppid=472676&amp;vpid=46887142&amp;ct=offers" TargetMode="External"/><Relationship Id="rId135" Type="http://schemas.openxmlformats.org/officeDocument/2006/relationships/hyperlink" Target="https://www.nxp.com/docs/en/data-sheet/SGTL5000.pdf" TargetMode="External"/><Relationship Id="rId136" Type="http://schemas.openxmlformats.org/officeDocument/2006/relationships/hyperlink" Target="https://octopart.com/click/track?c=1&amp;ai=8078&amp;sig=0e67bb5&amp;sid=459&amp;ppid=70302733&amp;vpid=248305906&amp;ct=offers" TargetMode="External"/><Relationship Id="rId137" Type="http://schemas.openxmlformats.org/officeDocument/2006/relationships/hyperlink" Target="https://octopart.com/click/track?c=1&amp;ai=8078&amp;sig=0d698c2&amp;sid=11744&amp;ppid=70302733&amp;vpid=247788338&amp;ct=offers" TargetMode="External"/><Relationship Id="rId138" Type="http://schemas.openxmlformats.org/officeDocument/2006/relationships/hyperlink" Target="https://octopart.com/click/track?c=1&amp;ai=8078&amp;sig=047f522&amp;sid=2401&amp;ppid=70302733&amp;vpid=251555959&amp;ct=offers" TargetMode="External"/><Relationship Id="rId139" Type="http://schemas.openxmlformats.org/officeDocument/2006/relationships/hyperlink" Target="https://octopart.com/click/track?c=1&amp;ai=8078&amp;sig=00417c4&amp;sid=2402&amp;ppid=70302733&amp;vpid=270421497&amp;ct=offers" TargetMode="External"/><Relationship Id="rId140" Type="http://schemas.openxmlformats.org/officeDocument/2006/relationships/hyperlink" Target="https://www.onsemi.com/pub/Collateral/NUF2030XV6-D.PDF" TargetMode="External"/><Relationship Id="rId141" Type="http://schemas.openxmlformats.org/officeDocument/2006/relationships/hyperlink" Target="https://octopart.com/click/track?c=1&amp;ai=8078&amp;sig=08ab043&amp;sid=459&amp;ppid=1432420&amp;vpid=34063078&amp;ct=offers" TargetMode="External"/><Relationship Id="rId142" Type="http://schemas.openxmlformats.org/officeDocument/2006/relationships/hyperlink" Target="https://octopart.com/click/track?ai=8078&amp;sig=0f51bc6&amp;sid=819&amp;ppid=1432420&amp;vpid=464895797&amp;ct=offers" TargetMode="External"/><Relationship Id="rId143" Type="http://schemas.openxmlformats.org/officeDocument/2006/relationships/hyperlink" Target="https://octopart.com/click/track?c=1&amp;ai=8078&amp;sig=0a62f1b&amp;sid=2401&amp;ppid=1432420&amp;vpid=37670933&amp;ct=offers" TargetMode="External"/><Relationship Id="rId144" Type="http://schemas.openxmlformats.org/officeDocument/2006/relationships/hyperlink" Target="https://octopart.com/click/track?c=1&amp;ai=8078&amp;sig=007b1fd&amp;sid=2402&amp;ppid=1432420&amp;vpid=462366243&amp;ct=offers" TargetMode="External"/><Relationship Id="rId145" Type="http://schemas.openxmlformats.org/officeDocument/2006/relationships/hyperlink" Target="https://octopart.com/click/track?ai=8078&amp;sig=0d0b068&amp;sid=10022&amp;ppid=1432420&amp;vpid=199088821&amp;ct=offers" TargetMode="External"/><Relationship Id="rId146" Type="http://schemas.openxmlformats.org/officeDocument/2006/relationships/hyperlink" Target="https://octopart.com/click/track?ai=8078&amp;sig=0871723&amp;sid=1532&amp;ppid=1432420&amp;vpid=709123001&amp;ct=offers" TargetMode="External"/><Relationship Id="rId147" Type="http://schemas.openxmlformats.org/officeDocument/2006/relationships/hyperlink" Target="https://www.microchip.com/en-us/product/MCP6H01" TargetMode="External"/><Relationship Id="rId148" Type="http://schemas.openxmlformats.org/officeDocument/2006/relationships/hyperlink" Target="https://octopart.com/click/track?ai=8078&amp;sig=0566c78&amp;sid=459&amp;ppid=21389927&amp;vpid=46837432&amp;ct=offers" TargetMode="External"/><Relationship Id="rId149" Type="http://schemas.openxmlformats.org/officeDocument/2006/relationships/hyperlink" Target="https://octopart.com/click/track?ai=8078&amp;sig=0deab42&amp;sid=11744&amp;ppid=21389927&amp;vpid=478776036&amp;ct=offers" TargetMode="External"/><Relationship Id="rId150" Type="http://schemas.openxmlformats.org/officeDocument/2006/relationships/hyperlink" Target="https://octopart.com/click/track?ai=8078&amp;sig=0e088c4&amp;sid=2401&amp;ppid=21389927&amp;vpid=96737316&amp;ct=offers" TargetMode="External"/><Relationship Id="rId151" Type="http://schemas.openxmlformats.org/officeDocument/2006/relationships/hyperlink" Target="https://octopart.com/click/track?ai=8078&amp;sig=03f9ef0&amp;sid=2402&amp;ppid=21389927&amp;vpid=477464962&amp;ct=offers" TargetMode="External"/><Relationship Id="rId152" Type="http://schemas.openxmlformats.org/officeDocument/2006/relationships/hyperlink" Target="https://octopart.com/click/track?ai=8078&amp;sig=03abf9d&amp;sid=10022&amp;ppid=21389927&amp;vpid=501149510&amp;ct=offers" TargetMode="External"/><Relationship Id="rId153" Type="http://schemas.openxmlformats.org/officeDocument/2006/relationships/hyperlink" Target="https://octopart.com/click/track?ai=8078&amp;sig=0683b33&amp;sid=1532&amp;ppid=21389927&amp;vpid=709082526&amp;ct=offers" TargetMode="External"/><Relationship Id="rId154" Type="http://schemas.openxmlformats.org/officeDocument/2006/relationships/hyperlink" Target="https://www.apmemory.com/wp-content/uploads/APM_PSRAM_QSPI-APS6404L-3SQR-v2.3-PKG.pdf" TargetMode="External"/><Relationship Id="rId155" Type="http://schemas.openxmlformats.org/officeDocument/2006/relationships/hyperlink" Target="https://www.winbond.com/resource-files/w25q128jv%20revf%2003272018%20plus.pdf" TargetMode="External"/><Relationship Id="rId156" Type="http://schemas.openxmlformats.org/officeDocument/2006/relationships/hyperlink" Target="https://octopart.com/click/track?c=1&amp;ai=8078&amp;sig=027d369&amp;sid=459&amp;ppid=81762594&amp;vpid=420816932&amp;ct=offers" TargetMode="External"/><Relationship Id="rId157" Type="http://schemas.openxmlformats.org/officeDocument/2006/relationships/hyperlink" Target="https://abracon.com/Oscillators/ASCO.pdf" TargetMode="External"/><Relationship Id="rId158" Type="http://schemas.openxmlformats.org/officeDocument/2006/relationships/hyperlink" Target="https://octopart.com/click/track?ai=8078&amp;sig=08c1eac&amp;sid=459&amp;ppid=29304148&amp;vpid=77656383&amp;ct=offers" TargetMode="External"/><Relationship Id="rId159" Type="http://schemas.openxmlformats.org/officeDocument/2006/relationships/hyperlink" Target="https://octopart.com/click/track?ai=8078&amp;sig=00626ec&amp;sid=819&amp;ppid=29304148&amp;vpid=663079651&amp;ct=offers" TargetMode="External"/><Relationship Id="rId160" Type="http://schemas.openxmlformats.org/officeDocument/2006/relationships/hyperlink" Target="https://octopart.com/click/track?ai=8078&amp;sig=0787bed&amp;sid=2401&amp;ppid=29304148&amp;vpid=182948634&amp;ct=offers" TargetMode="External"/><Relationship Id="rId161" Type="http://schemas.openxmlformats.org/officeDocument/2006/relationships/hyperlink" Target="https://octopart.com/click/track?ai=8078&amp;sig=0785f27&amp;sid=2402&amp;ppid=29304148&amp;vpid=664848724&amp;ct=offers" TargetMode="External"/><Relationship Id="rId162" Type="http://schemas.openxmlformats.org/officeDocument/2006/relationships/hyperlink" Target="https://www.arrow.com/en/bom-tool/" TargetMode="External"/><Relationship Id="rId163" Type="http://schemas.openxmlformats.org/officeDocument/2006/relationships/hyperlink" Target="https://www.digikey.com/ordering/shoppingcart" TargetMode="External"/><Relationship Id="rId164" Type="http://schemas.openxmlformats.org/officeDocument/2006/relationships/hyperlink" Target="https://www.newark.com/quick-order?isQuickPaste=true" TargetMode="External"/><Relationship Id="rId165" Type="http://schemas.openxmlformats.org/officeDocument/2006/relationships/hyperlink" Target="https://lcsc.com/bom.html" TargetMode="External"/><Relationship Id="rId166" Type="http://schemas.openxmlformats.org/officeDocument/2006/relationships/hyperlink" Target="https://mouser.com/bom/" TargetMode="External"/><Relationship Id="rId167" Type="http://schemas.openxmlformats.org/officeDocument/2006/relationships/hyperlink" Target="https://www.newark.com/quick-order?isQuickPaste=true" TargetMode="External"/><Relationship Id="rId168" Type="http://schemas.openxmlformats.org/officeDocument/2006/relationships/hyperlink" Target="https://uk.rs-online.com/web/mylists/manualQuotes.html?method=showEnquiryCreationPage&amp;mode=new" TargetMode="External"/><Relationship Id="rId169" Type="http://schemas.openxmlformats.org/officeDocument/2006/relationships/hyperlink" Target="https://www.tme.eu/en/Profile/QuickBuy/load.html" TargetMode="External"/><Relationship Id="rId170" Type="http://schemas.openxmlformats.org/officeDocument/2006/relationships/vmlDrawing" Target="../drawings/vmlDrawing1.vml"/><Relationship Id="rId17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77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/>
    <col min="5" max="5" width="9.140625" outlineLevel="2"/>
    <col min="6" max="6" width="9.140625" outlineLevel="1"/>
    <col min="7" max="7" width="9.140625" outlineLevel="1"/>
    <col min="8" max="8" width="9.140625" outlineLevel="1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15.7109375" customWidth="1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15.7109375" customWidth="1" outlineLevel="2"/>
    <col min="21" max="21" width="9.140625" outlineLevel="1"/>
    <col min="22" max="22" width="9.140625" outlineLevel="2"/>
    <col min="23" max="23" width="9.140625" outlineLevel="2"/>
    <col min="24" max="24" width="15.7109375" customWidth="1"/>
    <col min="25" max="25" width="15.7109375" customWidth="1" outlineLevel="2"/>
    <col min="26" max="26" width="9.140625" outlineLevel="1"/>
    <col min="27" max="27" width="9.140625" outlineLevel="2"/>
    <col min="28" max="28" width="9.140625" outlineLevel="2"/>
    <col min="29" max="29" width="15.7109375" customWidth="1"/>
    <col min="30" max="30" width="15.7109375" customWidth="1" outlineLevel="2"/>
    <col min="31" max="31" width="9.140625" outlineLevel="1"/>
    <col min="32" max="32" width="9.140625" outlineLevel="2"/>
    <col min="33" max="33" width="9.140625" outlineLevel="2"/>
    <col min="34" max="34" width="15.7109375" customWidth="1"/>
    <col min="35" max="35" width="15.7109375" customWidth="1" outlineLevel="2"/>
    <col min="36" max="36" width="9.140625" outlineLevel="1"/>
    <col min="37" max="37" width="9.140625" outlineLevel="2"/>
    <col min="38" max="38" width="9.140625" outlineLevel="2"/>
    <col min="39" max="39" width="15.7109375" customWidth="1"/>
    <col min="40" max="40" width="15.7109375" customWidth="1" outlineLevel="2"/>
    <col min="41" max="41" width="9.140625" outlineLevel="1"/>
    <col min="42" max="42" width="9.140625" outlineLevel="2"/>
    <col min="43" max="43" width="9.140625" outlineLevel="2"/>
    <col min="44" max="44" width="15.7109375" customWidth="1"/>
    <col min="45" max="45" width="15.7109375" customWidth="1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15.7109375" customWidth="1" outlineLevel="2"/>
  </cols>
  <sheetData>
    <row r="1" spans="1:50">
      <c r="A1" s="1" t="s">
        <v>177</v>
      </c>
      <c r="B1" s="2" t="s">
        <v>178</v>
      </c>
      <c r="I1" s="3" t="s">
        <v>183</v>
      </c>
      <c r="J1" s="3">
        <v>100</v>
      </c>
    </row>
    <row r="2" spans="1:50">
      <c r="A2" s="1" t="s">
        <v>179</v>
      </c>
      <c r="B2" s="2" t="s">
        <v>180</v>
      </c>
      <c r="I2" s="1" t="s">
        <v>185</v>
      </c>
      <c r="J2" s="4">
        <f>TotalCost/BoardQty</f>
        <v>0</v>
      </c>
    </row>
    <row r="3" spans="1:50">
      <c r="A3" s="1" t="s">
        <v>181</v>
      </c>
      <c r="B3" s="2" t="s">
        <v>182</v>
      </c>
      <c r="I3" s="1" t="s">
        <v>184</v>
      </c>
      <c r="J3" s="5">
        <f>SUM(J7:J40)</f>
        <v>0</v>
      </c>
      <c r="N3" s="5">
        <f>SUM(N7:N40)</f>
        <v>0</v>
      </c>
      <c r="O3" s="6">
        <f>(COUNTA(N7:N40)&amp;" of "&amp;ROWS(N7:N40)&amp;" parts found")</f>
        <v>0</v>
      </c>
      <c r="S3" s="5">
        <f>SUM(S7:S40)</f>
        <v>0</v>
      </c>
      <c r="T3" s="6">
        <f>(COUNTA(S7:S40)&amp;" of "&amp;ROWS(S7:S40)&amp;" parts found")</f>
        <v>0</v>
      </c>
      <c r="X3" s="5">
        <f>SUM(X7:X40)</f>
        <v>0</v>
      </c>
      <c r="Y3" s="6">
        <f>(COUNTA(X7:X40)&amp;" of "&amp;ROWS(X7:X40)&amp;" parts found")</f>
        <v>0</v>
      </c>
      <c r="AC3" s="5">
        <f>SUM(AC7:AC40)</f>
        <v>0</v>
      </c>
      <c r="AD3" s="6">
        <f>(COUNTA(AC7:AC40)&amp;" of "&amp;ROWS(AC7:AC40)&amp;" parts found")</f>
        <v>0</v>
      </c>
      <c r="AH3" s="5">
        <f>SUM(AH7:AH40)</f>
        <v>0</v>
      </c>
      <c r="AI3" s="6">
        <f>(COUNTA(AH7:AH40)&amp;" of "&amp;ROWS(AH7:AH40)&amp;" parts found")</f>
        <v>0</v>
      </c>
      <c r="AM3" s="5">
        <f>SUM(AM7:AM40)</f>
        <v>0</v>
      </c>
      <c r="AN3" s="6">
        <f>(COUNTA(AM7:AM40)&amp;" of "&amp;ROWS(AM7:AM40)&amp;" parts found")</f>
        <v>0</v>
      </c>
      <c r="AR3" s="5">
        <f>SUM(AR7:AR40)</f>
        <v>0</v>
      </c>
      <c r="AS3" s="6">
        <f>(COUNTA(AR7:AR40)&amp;" of "&amp;ROWS(AR7:AR40)&amp;" parts found")</f>
        <v>0</v>
      </c>
      <c r="AW3" s="5">
        <f>SUM(AW7:AW40)</f>
        <v>0</v>
      </c>
      <c r="AX3" s="6">
        <f>(COUNTA(AW7:AW40)&amp;" of "&amp;ROWS(AW7:AW40)&amp;" parts found")</f>
        <v>0</v>
      </c>
    </row>
    <row r="4" spans="1:50">
      <c r="A4" s="1" t="s">
        <v>186</v>
      </c>
      <c r="B4" s="2" t="s">
        <v>187</v>
      </c>
    </row>
    <row r="5" spans="1:50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188</v>
      </c>
      <c r="L5" s="8"/>
      <c r="M5" s="8"/>
      <c r="N5" s="8"/>
      <c r="O5" s="8"/>
      <c r="P5" s="9" t="s">
        <v>193</v>
      </c>
      <c r="Q5" s="9"/>
      <c r="R5" s="9"/>
      <c r="S5" s="9"/>
      <c r="T5" s="9"/>
      <c r="U5" s="10" t="s">
        <v>223</v>
      </c>
      <c r="V5" s="10"/>
      <c r="W5" s="10"/>
      <c r="X5" s="10"/>
      <c r="Y5" s="10"/>
      <c r="Z5" s="11" t="s">
        <v>250</v>
      </c>
      <c r="AA5" s="11"/>
      <c r="AB5" s="11"/>
      <c r="AC5" s="11"/>
      <c r="AD5" s="11"/>
      <c r="AE5" s="12" t="s">
        <v>259</v>
      </c>
      <c r="AF5" s="12"/>
      <c r="AG5" s="12"/>
      <c r="AH5" s="12"/>
      <c r="AI5" s="12"/>
      <c r="AJ5" s="13" t="s">
        <v>287</v>
      </c>
      <c r="AK5" s="13"/>
      <c r="AL5" s="13"/>
      <c r="AM5" s="13"/>
      <c r="AN5" s="13"/>
      <c r="AO5" s="14" t="s">
        <v>314</v>
      </c>
      <c r="AP5" s="14"/>
      <c r="AQ5" s="14"/>
      <c r="AR5" s="14"/>
      <c r="AS5" s="14"/>
      <c r="AT5" s="15" t="s">
        <v>327</v>
      </c>
      <c r="AU5" s="15"/>
      <c r="AV5" s="15"/>
      <c r="AW5" s="15"/>
      <c r="AX5" s="15"/>
    </row>
    <row r="6" spans="1:50">
      <c r="A6" s="16" t="s">
        <v>1</v>
      </c>
      <c r="B6" s="16" t="s">
        <v>2</v>
      </c>
      <c r="C6" s="16" t="s">
        <v>3</v>
      </c>
      <c r="D6" s="16" t="s">
        <v>10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189</v>
      </c>
      <c r="L6" s="16" t="s">
        <v>190</v>
      </c>
      <c r="M6" s="16" t="s">
        <v>8</v>
      </c>
      <c r="N6" s="16" t="s">
        <v>9</v>
      </c>
      <c r="O6" s="16" t="s">
        <v>191</v>
      </c>
      <c r="P6" s="16" t="s">
        <v>189</v>
      </c>
      <c r="Q6" s="16" t="s">
        <v>190</v>
      </c>
      <c r="R6" s="16" t="s">
        <v>8</v>
      </c>
      <c r="S6" s="16" t="s">
        <v>9</v>
      </c>
      <c r="T6" s="16" t="s">
        <v>191</v>
      </c>
      <c r="U6" s="16" t="s">
        <v>189</v>
      </c>
      <c r="V6" s="16" t="s">
        <v>190</v>
      </c>
      <c r="W6" s="16" t="s">
        <v>8</v>
      </c>
      <c r="X6" s="16" t="s">
        <v>9</v>
      </c>
      <c r="Y6" s="16" t="s">
        <v>191</v>
      </c>
      <c r="Z6" s="16" t="s">
        <v>189</v>
      </c>
      <c r="AA6" s="16" t="s">
        <v>190</v>
      </c>
      <c r="AB6" s="16" t="s">
        <v>8</v>
      </c>
      <c r="AC6" s="16" t="s">
        <v>9</v>
      </c>
      <c r="AD6" s="16" t="s">
        <v>191</v>
      </c>
      <c r="AE6" s="16" t="s">
        <v>189</v>
      </c>
      <c r="AF6" s="16" t="s">
        <v>190</v>
      </c>
      <c r="AG6" s="16" t="s">
        <v>8</v>
      </c>
      <c r="AH6" s="16" t="s">
        <v>9</v>
      </c>
      <c r="AI6" s="16" t="s">
        <v>191</v>
      </c>
      <c r="AJ6" s="16" t="s">
        <v>189</v>
      </c>
      <c r="AK6" s="16" t="s">
        <v>190</v>
      </c>
      <c r="AL6" s="16" t="s">
        <v>8</v>
      </c>
      <c r="AM6" s="16" t="s">
        <v>9</v>
      </c>
      <c r="AN6" s="16" t="s">
        <v>191</v>
      </c>
      <c r="AO6" s="16" t="s">
        <v>189</v>
      </c>
      <c r="AP6" s="16" t="s">
        <v>190</v>
      </c>
      <c r="AQ6" s="16" t="s">
        <v>8</v>
      </c>
      <c r="AR6" s="16" t="s">
        <v>9</v>
      </c>
      <c r="AS6" s="16" t="s">
        <v>191</v>
      </c>
      <c r="AT6" s="16" t="s">
        <v>189</v>
      </c>
      <c r="AU6" s="16" t="s">
        <v>190</v>
      </c>
      <c r="AV6" s="16" t="s">
        <v>8</v>
      </c>
      <c r="AW6" s="16" t="s">
        <v>9</v>
      </c>
      <c r="AX6" s="16" t="s">
        <v>191</v>
      </c>
    </row>
    <row r="7" spans="1:50">
      <c r="A7" s="17" t="s">
        <v>11</v>
      </c>
      <c r="B7" s="17" t="s">
        <v>12</v>
      </c>
      <c r="C7" s="17" t="s">
        <v>13</v>
      </c>
      <c r="D7" s="17" t="s">
        <v>17</v>
      </c>
      <c r="E7" s="17" t="s">
        <v>14</v>
      </c>
      <c r="F7" s="17" t="s">
        <v>15</v>
      </c>
      <c r="G7" s="17" t="s">
        <v>16</v>
      </c>
      <c r="H7" s="17">
        <f>BoardQty*2</f>
        <v>0</v>
      </c>
      <c r="I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7" s="18">
        <f>iferror(H7*I7,"")</f>
        <v>0</v>
      </c>
      <c r="P7" s="17">
        <v>17430</v>
      </c>
      <c r="R7" s="18">
        <f>iferror(lookup(if(Q7="",H7,Q7),{0,1,10,50,100,500,1000,2500,5000,10000},{0.0,0.29,0.198,0.119,0.1005,0.06876,0.06084,0.05819,0.0529,0.05026}),"")</f>
        <v>0</v>
      </c>
      <c r="S7" s="18">
        <f>iferror(if(Q7="",H7,Q7)*R7,"")</f>
        <v>0</v>
      </c>
      <c r="T7" s="19" t="s">
        <v>194</v>
      </c>
      <c r="U7" s="17">
        <v>20</v>
      </c>
      <c r="W7" s="18">
        <f>iferror(USD_GBP*lookup(if(V7="",H7,V7),{0,1,10,100,150,500,2500,5000,10000,50000},{0.0,0.127,0.127,0.105,0.105,0.0523,0.05,0.0456,0.0432,0.0386}),"")</f>
        <v>0</v>
      </c>
      <c r="X7" s="18">
        <f>iferror(if(V7="",H7,V7)*W7,"")</f>
        <v>0</v>
      </c>
      <c r="Y7" s="19" t="s">
        <v>224</v>
      </c>
      <c r="AE7" s="17">
        <v>101344</v>
      </c>
      <c r="AG7" s="18">
        <f>iferror(lookup(if(AF7="",H7,AF7),{0,1,10,50,100,1000,10000},{0.0,0.29,0.198,0.198,0.101,0.061,0.05}),"")</f>
        <v>0</v>
      </c>
      <c r="AH7" s="18">
        <f>iferror(if(AF7="",H7,AF7)*AG7,"")</f>
        <v>0</v>
      </c>
      <c r="AI7" s="19" t="s">
        <v>260</v>
      </c>
      <c r="AJ7" s="17">
        <v>20</v>
      </c>
      <c r="AL7" s="18">
        <f>iferror(lookup(if(AK7="",H7,AK7),{0,1,10,25,50,100},{0.0,0.348,0.238,0.199,0.16,0.121}),"")</f>
        <v>0</v>
      </c>
      <c r="AM7" s="18">
        <f>iferror(if(AK7="",H7,AK7)*AL7,"")</f>
        <v>0</v>
      </c>
      <c r="AN7" s="19" t="s">
        <v>288</v>
      </c>
    </row>
    <row r="8" spans="1:50">
      <c r="A8" s="17" t="s">
        <v>18</v>
      </c>
      <c r="B8" s="17" t="s">
        <v>12</v>
      </c>
      <c r="C8" s="17" t="s">
        <v>19</v>
      </c>
      <c r="D8" s="17" t="s">
        <v>22</v>
      </c>
      <c r="E8" s="17" t="s">
        <v>20</v>
      </c>
      <c r="F8" s="17" t="s">
        <v>15</v>
      </c>
      <c r="G8" s="17" t="s">
        <v>21</v>
      </c>
      <c r="H8" s="17">
        <f>BoardQty*1</f>
        <v>0</v>
      </c>
      <c r="I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8" s="18">
        <f>iferror(H8*I8,"")</f>
        <v>0</v>
      </c>
      <c r="P8" s="20" t="s">
        <v>196</v>
      </c>
      <c r="R8" s="18">
        <f>iferror(lookup(if(Q8="",H8,Q8),{0,1,10,50,100,500,1000,4000},{0.0,0.37,0.258,0.1808,0.1549,0.11618,0.09811,0.07633}),"")</f>
        <v>0</v>
      </c>
      <c r="S8" s="18">
        <f>iferror(if(Q8="",H8,Q8)*R8,"")</f>
        <v>0</v>
      </c>
      <c r="T8" s="19" t="s">
        <v>195</v>
      </c>
      <c r="U8" s="17">
        <v>20</v>
      </c>
      <c r="W8" s="18">
        <f>iferror(USD_GBP*lookup(if(V8="",H8,V8),{0,1,10,100,150,500,1000,2000,4000,20000},{0.0,0.301,0.301,0.162,0.162,0.106,0.09,0.0828,0.0756,0.0741}),"")</f>
        <v>0</v>
      </c>
      <c r="X8" s="18">
        <f>iferror(if(V8="",H8,V8)*W8,"")</f>
        <v>0</v>
      </c>
      <c r="Y8" s="19" t="s">
        <v>225</v>
      </c>
      <c r="Z8" s="17">
        <v>15450</v>
      </c>
      <c r="AB8" s="18">
        <f>iferror(lookup(if(AA8="",H8,AA8),{0,1,5,50,150,500,2500,5000},{0.0,0.62054,0.62054,0.45238,0.42149,0.39061,0.37688,0.3701}),"")</f>
        <v>0</v>
      </c>
      <c r="AC8" s="18">
        <f>iferror(if(AA8="",H8,AA8)*AB8,"")</f>
        <v>0</v>
      </c>
      <c r="AD8" s="19" t="s">
        <v>251</v>
      </c>
      <c r="AE8" s="17">
        <v>6777</v>
      </c>
      <c r="AG8" s="18">
        <f>iferror(lookup(if(AF8="",H8,AF8),{0,1,10,50,100,1000,10000},{0.0,0.37,0.258,0.258,0.154,0.098,0.083}),"")</f>
        <v>0</v>
      </c>
      <c r="AH8" s="18">
        <f>iferror(if(AF8="",H8,AF8)*AG8,"")</f>
        <v>0</v>
      </c>
      <c r="AI8" s="19" t="s">
        <v>261</v>
      </c>
      <c r="AJ8" s="17">
        <v>20</v>
      </c>
      <c r="AL8" s="18">
        <f>iferror(lookup(if(AK8="",H8,AK8),{0,1,10,25,50,100},{0.0,0.444,0.31,0.268,0.226,0.185}),"")</f>
        <v>0</v>
      </c>
      <c r="AM8" s="18">
        <f>iferror(if(AK8="",H8,AK8)*AL8,"")</f>
        <v>0</v>
      </c>
      <c r="AN8" s="19" t="s">
        <v>289</v>
      </c>
    </row>
    <row r="9" spans="1:50">
      <c r="A9" s="17" t="s">
        <v>23</v>
      </c>
      <c r="B9" s="17" t="s">
        <v>24</v>
      </c>
      <c r="C9" s="17" t="s">
        <v>25</v>
      </c>
      <c r="D9" s="17" t="s">
        <v>28</v>
      </c>
      <c r="E9" s="17" t="s">
        <v>20</v>
      </c>
      <c r="F9" s="17" t="s">
        <v>26</v>
      </c>
      <c r="G9" s="17" t="s">
        <v>27</v>
      </c>
      <c r="H9" s="17">
        <f>BoardQty*2</f>
        <v>0</v>
      </c>
      <c r="I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9" s="18">
        <f>iferror(H9*I9,"")</f>
        <v>0</v>
      </c>
      <c r="P9" s="20" t="s">
        <v>196</v>
      </c>
      <c r="R9" s="18">
        <f>iferror(lookup(if(Q9="",H9,Q9),{0,1,10,50,100,500,1000,4000},{0.0,0.37,0.258,0.1806,0.1548,0.11608,0.09802,0.0877}),"")</f>
        <v>0</v>
      </c>
      <c r="S9" s="18">
        <f>iferror(if(Q9="",H9,Q9)*R9,"")</f>
        <v>0</v>
      </c>
      <c r="T9" s="19" t="s">
        <v>197</v>
      </c>
      <c r="U9" s="20" t="s">
        <v>196</v>
      </c>
      <c r="W9" s="18">
        <f>iferror(USD_GBP*lookup(if(V9="",H9,V9),{0,1,10,100,150,500,1000,2000,4000,20000},{0.0,0.187,0.187,0.139,0.139,0.0899,0.0759,0.0743,0.0728,0.0603}),"")</f>
        <v>0</v>
      </c>
      <c r="X9" s="18">
        <f>iferror(if(V9="",H9,V9)*W9,"")</f>
        <v>0</v>
      </c>
      <c r="Y9" s="19" t="s">
        <v>226</v>
      </c>
      <c r="AE9" s="17">
        <v>5904</v>
      </c>
      <c r="AG9" s="18">
        <f>iferror(lookup(if(AF9="",H9,AF9),{0,1,10,50,100,1000,10000},{0.0,0.36,0.27,0.27,0.161,0.102,0.075}),"")</f>
        <v>0</v>
      </c>
      <c r="AH9" s="18">
        <f>iferror(if(AF9="",H9,AF9)*AG9,"")</f>
        <v>0</v>
      </c>
      <c r="AI9" s="19" t="s">
        <v>262</v>
      </c>
      <c r="AJ9" s="20" t="s">
        <v>196</v>
      </c>
      <c r="AL9" s="18">
        <f>iferror(lookup(if(AK9="",H9,AK9),{0,1,10,25,50,100,4000,8000},{0.0,0.27,0.27,0.234,0.197,0.161,0.081,0.075}),"")</f>
        <v>0</v>
      </c>
      <c r="AM9" s="18">
        <f>iferror(if(AK9="",H9,AK9)*AL9,"")</f>
        <v>0</v>
      </c>
      <c r="AN9" s="19" t="s">
        <v>290</v>
      </c>
      <c r="AO9" s="17">
        <v>60</v>
      </c>
      <c r="AQ9" s="18">
        <f>iferror(USD_GBP*lookup(if(AP9="",H9,AP9),{0,1,20,100,500,1000,2000,4000,16000},{0.0,0.206,0.206,0.114,0.093,0.082,0.08,0.06,0.058}),"")</f>
        <v>0</v>
      </c>
      <c r="AR9" s="18">
        <f>iferror(if(AP9="",H9,AP9)*AQ9,"")</f>
        <v>0</v>
      </c>
      <c r="AS9" s="19" t="s">
        <v>315</v>
      </c>
    </row>
    <row r="10" spans="1:50">
      <c r="A10" s="17" t="s">
        <v>29</v>
      </c>
      <c r="B10" s="17" t="s">
        <v>12</v>
      </c>
      <c r="C10" s="17" t="s">
        <v>30</v>
      </c>
      <c r="D10" s="17" t="s">
        <v>33</v>
      </c>
      <c r="E10" s="17" t="s">
        <v>31</v>
      </c>
      <c r="F10" s="17" t="s">
        <v>15</v>
      </c>
      <c r="G10" s="17" t="s">
        <v>32</v>
      </c>
      <c r="H10" s="17">
        <f>BoardQty*3</f>
        <v>0</v>
      </c>
      <c r="I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0" s="18">
        <f>iferror(H10*I10,"")</f>
        <v>0</v>
      </c>
      <c r="P10" s="17">
        <v>1433893</v>
      </c>
      <c r="R10" s="18">
        <f>iferror(lookup(if(Q10="",H10,Q10),{0,1,10,50,100,500,1000,2500,5000,15000},{0.0,0.25,0.172,0.115,0.0978,0.069,0.06038,0.0575,0.05319,0.04773}),"")</f>
        <v>0</v>
      </c>
      <c r="S10" s="18">
        <f>iferror(if(Q10="",H10,Q10)*R10,"")</f>
        <v>0</v>
      </c>
      <c r="T10" s="19" t="s">
        <v>198</v>
      </c>
      <c r="U10" s="20" t="s">
        <v>196</v>
      </c>
      <c r="W10" s="18">
        <f>iferror(USD_GBP*lookup(if(V10="",H10,V10),{0,1,10,100,150,500,2500,7500,15000,75000},{0.0,0.152,0.152,0.106,0.106,0.0837,0.0636,0.053,0.052,0.0445}),"")</f>
        <v>0</v>
      </c>
      <c r="X10" s="18">
        <f>iferror(if(V10="",H10,V10)*W10,"")</f>
        <v>0</v>
      </c>
      <c r="Y10" s="19" t="s">
        <v>227</v>
      </c>
      <c r="AE10" s="20" t="s">
        <v>196</v>
      </c>
      <c r="AG10" s="18">
        <f>iferror(lookup(if(AF10="",H10,AF10),{0,1,10,50,100,1000,10000},{0.0,0.25,0.171,0.171,0.097,0.06,0.051}),"")</f>
        <v>0</v>
      </c>
      <c r="AH10" s="18">
        <f>iferror(if(AF10="",H10,AF10)*AG10,"")</f>
        <v>0</v>
      </c>
      <c r="AI10" s="19" t="s">
        <v>263</v>
      </c>
      <c r="AJ10" s="20" t="s">
        <v>196</v>
      </c>
      <c r="AL10" s="18">
        <f>iferror(lookup(if(AK10="",H10,AK10),{0,1,10,25,50,100,15000},{0.0,0.205,0.205,0.176,0.146,0.116,0.062}),"")</f>
        <v>0</v>
      </c>
      <c r="AM10" s="18">
        <f>iferror(if(AK10="",H10,AK10)*AL10,"")</f>
        <v>0</v>
      </c>
      <c r="AN10" s="19" t="s">
        <v>291</v>
      </c>
    </row>
    <row r="11" spans="1:50">
      <c r="A11" s="17" t="s">
        <v>34</v>
      </c>
      <c r="B11" s="17" t="s">
        <v>12</v>
      </c>
      <c r="C11" s="17" t="s">
        <v>35</v>
      </c>
      <c r="D11" s="17" t="s">
        <v>37</v>
      </c>
      <c r="E11" s="17" t="s">
        <v>31</v>
      </c>
      <c r="F11" s="17" t="s">
        <v>15</v>
      </c>
      <c r="G11" s="17" t="s">
        <v>36</v>
      </c>
      <c r="H11" s="17">
        <f>BoardQty*3</f>
        <v>0</v>
      </c>
      <c r="I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1" s="18">
        <f>iferror(H11*I11,"")</f>
        <v>0</v>
      </c>
      <c r="P11" s="17">
        <v>1701248</v>
      </c>
      <c r="R11" s="18">
        <f>iferror(lookup(if(Q11="",H11,Q11),{0,1,10,50,100,500,1000,2500,5000,10000},{0.0,0.44,0.307,0.215,0.1842,0.13818,0.11668,0.11054,0.1044,0.09826}),"")</f>
        <v>0</v>
      </c>
      <c r="S11" s="18">
        <f>iferror(if(Q11="",H11,Q11)*R11,"")</f>
        <v>0</v>
      </c>
      <c r="T11" s="19" t="s">
        <v>199</v>
      </c>
      <c r="U11" s="17">
        <v>80000</v>
      </c>
      <c r="W11" s="18">
        <f>iferror(USD_GBP*lookup(if(V11="",H11,V11),{0,1,10,100,150,500,2500,5000,10000,50000},{0.0,0.227,0.227,0.184,0.184,0.102,0.0969,0.0853,0.0836,0.0716}),"")</f>
        <v>0</v>
      </c>
      <c r="X11" s="18">
        <f>iferror(if(V11="",H11,V11)*W11,"")</f>
        <v>0</v>
      </c>
      <c r="Y11" s="19" t="s">
        <v>228</v>
      </c>
      <c r="Z11" s="17">
        <v>191830</v>
      </c>
      <c r="AB11" s="18">
        <f>iferror(lookup(if(AA11="",H11,AA11),{0,1,5,50,150,500,2500,5000},{0.0,0.6702,0.6702,0.48858,0.45522,0.42187,0.40704,0.39972}),"")</f>
        <v>0</v>
      </c>
      <c r="AC11" s="18">
        <f>iferror(if(AA11="",H11,AA11)*AB11,"")</f>
        <v>0</v>
      </c>
      <c r="AD11" s="19" t="s">
        <v>252</v>
      </c>
      <c r="AE11" s="17">
        <v>311213</v>
      </c>
      <c r="AG11" s="18">
        <f>iferror(lookup(if(AF11="",H11,AF11),{0,1,10,50,100,1000,10000},{0.0,0.44,0.306,0.306,0.184,0.116,0.094}),"")</f>
        <v>0</v>
      </c>
      <c r="AH11" s="18">
        <f>iferror(if(AF11="",H11,AF11)*AG11,"")</f>
        <v>0</v>
      </c>
      <c r="AI11" s="19" t="s">
        <v>264</v>
      </c>
      <c r="AJ11" s="17">
        <v>80000</v>
      </c>
      <c r="AL11" s="18">
        <f>iferror(lookup(if(AK11="",H11,AK11),{0,1,10,25,50,100,10000},{0.0,0.528,0.367,0.318,0.27,0.221,0.113}),"")</f>
        <v>0</v>
      </c>
      <c r="AM11" s="18">
        <f>iferror(if(AK11="",H11,AK11)*AL11,"")</f>
        <v>0</v>
      </c>
      <c r="AN11" s="19" t="s">
        <v>292</v>
      </c>
    </row>
    <row r="12" spans="1:50">
      <c r="A12" s="17" t="s">
        <v>38</v>
      </c>
      <c r="B12" s="17" t="s">
        <v>39</v>
      </c>
      <c r="C12" s="17" t="s">
        <v>40</v>
      </c>
      <c r="D12" s="17" t="s">
        <v>42</v>
      </c>
      <c r="E12" s="17" t="s">
        <v>31</v>
      </c>
      <c r="F12" s="17" t="s">
        <v>15</v>
      </c>
      <c r="G12" s="17" t="s">
        <v>41</v>
      </c>
      <c r="H12" s="17">
        <f>BoardQty*12</f>
        <v>0</v>
      </c>
      <c r="I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2" s="18">
        <f>iferror(H12*I12,"")</f>
        <v>0</v>
      </c>
      <c r="P12" s="17">
        <v>1804220</v>
      </c>
      <c r="R12" s="18">
        <f>iferror(lookup(if(Q12="",H12,Q12),{0,1,10,50,100,500,1000,2500,5000,15000},{0.0,0.1,0.034,0.0186,0.0152,0.01086,0.00854,0.00776,0.00714,0.00621}),"")</f>
        <v>0</v>
      </c>
      <c r="S12" s="18">
        <f>iferror(if(Q12="",H12,Q12)*R12,"")</f>
        <v>0</v>
      </c>
      <c r="T12" s="19" t="s">
        <v>200</v>
      </c>
      <c r="U12" s="17">
        <v>28952</v>
      </c>
      <c r="W12" s="18">
        <f>iferror(USD_GBP*lookup(if(V12="",H12,V12),{0,1,10,100,150,500,2500,7500,15000,75000},{0.0,0.0206,0.0206,0.0168,0.0168,0.009,0.006,0.0059,0.0054,0.0047}),"")</f>
        <v>0</v>
      </c>
      <c r="X12" s="18">
        <f>iferror(if(V12="",H12,V12)*W12,"")</f>
        <v>0</v>
      </c>
      <c r="Y12" s="19" t="s">
        <v>229</v>
      </c>
      <c r="Z12" s="17">
        <v>50300</v>
      </c>
      <c r="AB12" s="18">
        <f>iferror(lookup(if(AA12="",H12,AA12),{0,1,100,1000,3000,10000,50000,100000},{0.0,0.01727,0.01727,0.01259,0.01173,0.01087,0.01049,0.0103}),"")</f>
        <v>0</v>
      </c>
      <c r="AC12" s="18">
        <f>iferror(if(AA12="",H12,AA12)*AB12,"")</f>
        <v>0</v>
      </c>
      <c r="AD12" s="19" t="s">
        <v>253</v>
      </c>
      <c r="AE12" s="17">
        <v>789553</v>
      </c>
      <c r="AG12" s="18">
        <f>iferror(lookup(if(AF12="",H12,AF12),{0,1,10,50,100,1000,10000},{0.0,0.1,0.034,0.034,0.015,0.009,0.007}),"")</f>
        <v>0</v>
      </c>
      <c r="AH12" s="18">
        <f>iferror(if(AF12="",H12,AF12)*AG12,"")</f>
        <v>0</v>
      </c>
      <c r="AI12" s="19" t="s">
        <v>265</v>
      </c>
      <c r="AJ12" s="17">
        <v>19878</v>
      </c>
      <c r="AL12" s="18">
        <f>iferror(lookup(if(AK12="",H12,AK12),{0,1,10,25,50,100,15000},{0.0,0.12,0.041,0.033,0.026,0.018,0.008}),"")</f>
        <v>0</v>
      </c>
      <c r="AM12" s="18">
        <f>iferror(if(AK12="",H12,AK12)*AL12,"")</f>
        <v>0</v>
      </c>
      <c r="AN12" s="19" t="s">
        <v>293</v>
      </c>
      <c r="AO12" s="17">
        <v>7000</v>
      </c>
      <c r="AQ12" s="18">
        <f>iferror(USD_GBP*lookup(if(AP12="",H12,AP12),{0,1,1000,5000,10000,15000,60000},{0.0,0.007,0.007,0.006,0.006,0.004,0.004}),"")</f>
        <v>0</v>
      </c>
      <c r="AR12" s="18">
        <f>iferror(if(AP12="",H12,AP12)*AQ12,"")</f>
        <v>0</v>
      </c>
      <c r="AS12" s="19" t="s">
        <v>316</v>
      </c>
    </row>
    <row r="13" spans="1:50">
      <c r="A13" s="17" t="s">
        <v>43</v>
      </c>
      <c r="B13" s="17" t="s">
        <v>44</v>
      </c>
      <c r="C13" s="17" t="s">
        <v>45</v>
      </c>
      <c r="E13" s="17" t="s">
        <v>46</v>
      </c>
      <c r="F13" s="17" t="s">
        <v>47</v>
      </c>
      <c r="G13" s="17" t="s">
        <v>48</v>
      </c>
      <c r="H13" s="17">
        <f>BoardQty*2</f>
        <v>0</v>
      </c>
      <c r="I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3" s="18">
        <f>iferror(H13*I13,"")</f>
        <v>0</v>
      </c>
      <c r="P13" s="17">
        <v>9838</v>
      </c>
      <c r="R13" s="18">
        <f>iferror(lookup(if(Q13="",H13,Q13),{0,1,10,100,500,1000,2000,5000,10000,30000},{0.0,0.45,0.335,0.1899,0.12572,0.09639,0.08382,0.07544,0.06706,0.06287}),"")</f>
        <v>0</v>
      </c>
      <c r="S13" s="18">
        <f>iferror(if(Q13="",H13,Q13)*R13,"")</f>
        <v>0</v>
      </c>
      <c r="T13" s="19" t="s">
        <v>201</v>
      </c>
      <c r="U13" s="20" t="s">
        <v>196</v>
      </c>
      <c r="W13" s="18">
        <f>iferror(USD_GBP*lookup(if(V13="",H13,V13),{0,1,10000},{0.0,0.0506,0.0506}),"")</f>
        <v>0</v>
      </c>
      <c r="X13" s="18">
        <f>iferror(if(V13="",H13,V13)*W13,"")</f>
        <v>0</v>
      </c>
      <c r="Y13" s="19" t="s">
        <v>230</v>
      </c>
      <c r="AE13" s="17">
        <v>14119</v>
      </c>
      <c r="AG13" s="18">
        <f>iferror(lookup(if(AF13="",H13,AF13),{0,1,10,50,100,1000,10000},{0.0,0.41,0.29,0.29,0.164,0.084,0.06}),"")</f>
        <v>0</v>
      </c>
      <c r="AH13" s="18">
        <f>iferror(if(AF13="",H13,AF13)*AG13,"")</f>
        <v>0</v>
      </c>
      <c r="AI13" s="19" t="s">
        <v>266</v>
      </c>
      <c r="AJ13" s="20" t="s">
        <v>196</v>
      </c>
      <c r="AL13" s="18">
        <f>iferror(lookup(if(AK13="",H13,AK13),{0,1,5,10,100,500,1000,2500},{0.0,0.36,0.36,0.276,0.154,0.136,0.118,0.103}),"")</f>
        <v>0</v>
      </c>
      <c r="AM13" s="18">
        <f>iferror(if(AK13="",H13,AK13)*AL13,"")</f>
        <v>0</v>
      </c>
      <c r="AN13" s="19" t="s">
        <v>294</v>
      </c>
    </row>
    <row r="14" spans="1:50">
      <c r="A14" s="17" t="s">
        <v>49</v>
      </c>
      <c r="B14" s="17" t="s">
        <v>50</v>
      </c>
      <c r="C14" s="17" t="s">
        <v>51</v>
      </c>
      <c r="E14" s="17" t="s">
        <v>52</v>
      </c>
      <c r="F14" s="17" t="s">
        <v>53</v>
      </c>
      <c r="G14" s="17" t="s">
        <v>50</v>
      </c>
      <c r="H14" s="17">
        <f>BoardQty*1</f>
        <v>0</v>
      </c>
      <c r="I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4" s="18">
        <f>iferror(H14*I14,"")</f>
        <v>0</v>
      </c>
      <c r="P14" s="17">
        <v>7992</v>
      </c>
      <c r="R14" s="18">
        <f>iferror(lookup(if(Q14="",H14,Q14),{0,1,10,100,500,1000,2000,4000,8000,12000,28000,100000},{0.0,0.32,0.256,0.115,0.10388,0.08533,0.0742,0.0742,0.06678,0.05936,0.05565,0.0525}),"")</f>
        <v>0</v>
      </c>
      <c r="S14" s="18">
        <f>iferror(if(Q14="",H14,Q14)*R14,"")</f>
        <v>0</v>
      </c>
      <c r="T14" s="19" t="s">
        <v>202</v>
      </c>
      <c r="U14" s="17">
        <v>5</v>
      </c>
      <c r="W14" s="18">
        <f>iferror(USD_GBP*lookup(if(V14="",H14,V14),{0,1,4000},{0.0,0.0827,0.0827}),"")</f>
        <v>0</v>
      </c>
      <c r="X14" s="18">
        <f>iferror(if(V14="",H14,V14)*W14,"")</f>
        <v>0</v>
      </c>
      <c r="Y14" s="19" t="s">
        <v>231</v>
      </c>
      <c r="AE14" s="17">
        <v>3994</v>
      </c>
      <c r="AG14" s="18">
        <f>iferror(lookup(if(AF14="",H14,AF14),{0,1,10,50,100,1000,10000},{0.0,0.48,0.266,0.266,0.108,0.089,0.056}),"")</f>
        <v>0</v>
      </c>
      <c r="AH14" s="18">
        <f>iferror(if(AF14="",H14,AF14)*AG14,"")</f>
        <v>0</v>
      </c>
      <c r="AI14" s="19" t="s">
        <v>267</v>
      </c>
      <c r="AJ14" s="17">
        <v>5</v>
      </c>
      <c r="AL14" s="18">
        <f>iferror(lookup(if(AK14="",H14,AK14),{0,1,25,50,100,250,500},{0.0,0.32,0.256,0.186,0.115,0.109,0.103}),"")</f>
        <v>0</v>
      </c>
      <c r="AM14" s="18">
        <f>iferror(if(AK14="",H14,AK14)*AL14,"")</f>
        <v>0</v>
      </c>
      <c r="AN14" s="19" t="s">
        <v>295</v>
      </c>
      <c r="AT14" s="17">
        <v>3427</v>
      </c>
      <c r="AV14" s="18">
        <f>iferror(USD_GBP*lookup(if(AU14="",H14,AU14),{0,1,5,25,100,500,4000},{0.0,0.14,0.14,0.1212,0.0751,0.0572,0.0429}),"")</f>
        <v>0</v>
      </c>
      <c r="AW14" s="18">
        <f>iferror(if(AU14="",H14,AU14)*AV14,"")</f>
        <v>0</v>
      </c>
      <c r="AX14" s="19" t="s">
        <v>328</v>
      </c>
    </row>
    <row r="15" spans="1:50">
      <c r="A15" s="17" t="s">
        <v>54</v>
      </c>
      <c r="B15" s="17" t="s">
        <v>55</v>
      </c>
      <c r="C15" s="17" t="s">
        <v>56</v>
      </c>
      <c r="E15" s="17" t="s">
        <v>52</v>
      </c>
      <c r="F15" s="17" t="s">
        <v>53</v>
      </c>
      <c r="G15" s="17" t="s">
        <v>55</v>
      </c>
      <c r="H15" s="17">
        <f>BoardQty*1</f>
        <v>0</v>
      </c>
      <c r="I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5" s="18">
        <f>iferror(H15*I15,"")</f>
        <v>0</v>
      </c>
      <c r="P15" s="17">
        <v>18111</v>
      </c>
      <c r="R15" s="18">
        <f>iferror(lookup(if(Q15="",H15,Q15),{0,1,10,100,500,1000,2000,4000,8000,12000,28000,100000},{0.0,0.33,0.263,0.1183,0.10684,0.08777,0.07632,0.07632,0.06869,0.06106,0.05724,0.054}),"")</f>
        <v>0</v>
      </c>
      <c r="S15" s="18">
        <f>iferror(if(Q15="",H15,Q15)*R15,"")</f>
        <v>0</v>
      </c>
      <c r="T15" s="19" t="s">
        <v>203</v>
      </c>
      <c r="U15" s="17">
        <v>3287</v>
      </c>
      <c r="W15" s="18">
        <f>iferror(USD_GBP*lookup(if(V15="",H15,V15),{0,1,25,50,100,250,500},{0.0,0.257,0.2,0.145,0.0892,0.0849,0.0813}),"")</f>
        <v>0</v>
      </c>
      <c r="X15" s="18">
        <f>iferror(if(V15="",H15,V15)*W15,"")</f>
        <v>0</v>
      </c>
      <c r="Y15" s="19" t="s">
        <v>232</v>
      </c>
      <c r="AE15" s="17">
        <v>13600</v>
      </c>
      <c r="AG15" s="18">
        <f>iferror(lookup(if(AF15="",H15,AF15),{0,1,10,50,100,1000,10000},{0.0,0.49,0.274,0.274,0.111,0.092,0.057}),"")</f>
        <v>0</v>
      </c>
      <c r="AH15" s="18">
        <f>iferror(if(AF15="",H15,AF15)*AG15,"")</f>
        <v>0</v>
      </c>
      <c r="AI15" s="19" t="s">
        <v>268</v>
      </c>
      <c r="AJ15" s="17">
        <v>3287</v>
      </c>
      <c r="AL15" s="18">
        <f>iferror(lookup(if(AK15="",H15,AK15),{0,1,25,50,100,250,500},{0.0,0.039,0.039,0.039,0.039,0.039,0.039}),"")</f>
        <v>0</v>
      </c>
      <c r="AM15" s="18">
        <f>iferror(if(AK15="",H15,AK15)*AL15,"")</f>
        <v>0</v>
      </c>
      <c r="AN15" s="19" t="s">
        <v>296</v>
      </c>
      <c r="AT15" s="17">
        <v>2779</v>
      </c>
      <c r="AV15" s="18">
        <f>iferror(USD_GBP*lookup(if(AU15="",H15,AU15),{0,1,5,25,100,500,4000},{0.0,0.14,0.14,0.1064,0.0751,0.0542,0.039}),"")</f>
        <v>0</v>
      </c>
      <c r="AW15" s="18">
        <f>iferror(if(AU15="",H15,AU15)*AV15,"")</f>
        <v>0</v>
      </c>
      <c r="AX15" s="19" t="s">
        <v>329</v>
      </c>
    </row>
    <row r="16" spans="1:50">
      <c r="A16" s="17" t="s">
        <v>57</v>
      </c>
      <c r="B16" s="17" t="s">
        <v>58</v>
      </c>
      <c r="C16" s="17" t="s">
        <v>59</v>
      </c>
      <c r="E16" s="17" t="s">
        <v>60</v>
      </c>
      <c r="H16" s="17">
        <f>BoardQty*1</f>
        <v>0</v>
      </c>
      <c r="I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8">
        <f>iferror(H16*I16,"")</f>
        <v>0</v>
      </c>
    </row>
    <row r="17" spans="1:45">
      <c r="A17" s="17" t="s">
        <v>61</v>
      </c>
      <c r="B17" s="17" t="s">
        <v>62</v>
      </c>
      <c r="C17" s="17" t="s">
        <v>63</v>
      </c>
      <c r="E17" s="17" t="s">
        <v>64</v>
      </c>
      <c r="H17" s="17">
        <f>BoardQty*1</f>
        <v>0</v>
      </c>
      <c r="I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8">
        <f>iferror(H17*I17,"")</f>
        <v>0</v>
      </c>
    </row>
    <row r="18" spans="1:45">
      <c r="A18" s="17" t="s">
        <v>65</v>
      </c>
      <c r="B18" s="17" t="s">
        <v>66</v>
      </c>
      <c r="C18" s="17" t="s">
        <v>67</v>
      </c>
      <c r="E18" s="17" t="s">
        <v>68</v>
      </c>
      <c r="H18" s="17">
        <f>BoardQty*1</f>
        <v>0</v>
      </c>
      <c r="I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8">
        <f>iferror(H18*I18,"")</f>
        <v>0</v>
      </c>
    </row>
    <row r="19" spans="1:45">
      <c r="A19" s="17" t="s">
        <v>69</v>
      </c>
      <c r="B19" s="17" t="s">
        <v>70</v>
      </c>
      <c r="C19" s="17" t="s">
        <v>71</v>
      </c>
      <c r="E19" s="17" t="s">
        <v>72</v>
      </c>
      <c r="H19" s="17">
        <f>BoardQty*1</f>
        <v>0</v>
      </c>
      <c r="I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8">
        <f>iferror(H19*I19,"")</f>
        <v>0</v>
      </c>
    </row>
    <row r="20" spans="1:45">
      <c r="A20" s="17" t="s">
        <v>73</v>
      </c>
      <c r="B20" s="17" t="s">
        <v>74</v>
      </c>
      <c r="C20" s="17" t="s">
        <v>75</v>
      </c>
      <c r="D20" s="17" t="s">
        <v>78</v>
      </c>
      <c r="E20" s="17" t="s">
        <v>76</v>
      </c>
      <c r="F20" s="17" t="s">
        <v>77</v>
      </c>
      <c r="G20" s="17" t="s">
        <v>74</v>
      </c>
      <c r="H20" s="17">
        <f>BoardQty*1</f>
        <v>0</v>
      </c>
      <c r="I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0" s="18">
        <f>iferror(H20*I20,"")</f>
        <v>0</v>
      </c>
      <c r="Z20" s="17">
        <v>92350</v>
      </c>
      <c r="AB20" s="18">
        <f>iferror(lookup(if(AA20="",H20,AA20),{0,1,10,30,100,500,1000},{0.0,1.77,1.36,1.26,1.13,1.07,1.06}),"")</f>
        <v>0</v>
      </c>
      <c r="AC20" s="18">
        <f>iferror(if(AA20="",H20,AA20)*AB20,"")</f>
        <v>0</v>
      </c>
      <c r="AD20" s="19" t="s">
        <v>254</v>
      </c>
    </row>
    <row r="21" spans="1:45">
      <c r="A21" s="17" t="s">
        <v>79</v>
      </c>
      <c r="B21" s="17" t="s">
        <v>80</v>
      </c>
      <c r="C21" s="17" t="s">
        <v>81</v>
      </c>
      <c r="E21" s="17" t="s">
        <v>82</v>
      </c>
      <c r="F21" s="17" t="s">
        <v>83</v>
      </c>
      <c r="G21" s="17" t="s">
        <v>84</v>
      </c>
      <c r="H21" s="17">
        <f>BoardQty*3</f>
        <v>0</v>
      </c>
      <c r="I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1" s="18">
        <f>iferror(H21*I21,"")</f>
        <v>0</v>
      </c>
      <c r="P21" s="17">
        <v>134435</v>
      </c>
      <c r="R21" s="18">
        <f>iferror(lookup(if(Q21="",H21,Q21),{0,1,10,100,1000,2500,5000,15000},{0.0,0.1,0.028,0.0115,0.00518,0.0045,0.00371,0.00323}),"")</f>
        <v>0</v>
      </c>
      <c r="S21" s="18">
        <f>iferror(if(Q21="",H21,Q21)*R21,"")</f>
        <v>0</v>
      </c>
      <c r="T21" s="19" t="s">
        <v>204</v>
      </c>
      <c r="U21" s="20" t="s">
        <v>196</v>
      </c>
      <c r="W21" s="18">
        <f>iferror(USD_GBP*lookup(if(V21="",H21,V21),{0,1,30000},{0.0,0.0055,0.0055}),"")</f>
        <v>0</v>
      </c>
      <c r="X21" s="18">
        <f>iferror(if(V21="",H21,V21)*W21,"")</f>
        <v>0</v>
      </c>
      <c r="Y21" s="19" t="s">
        <v>233</v>
      </c>
      <c r="AE21" s="17">
        <v>9743</v>
      </c>
      <c r="AG21" s="18">
        <f>iferror(lookup(if(AF21="",H21,AF21),{0,1,10,50,100,1000,10000},{0.0,0.1,0.031,0.031,0.014,0.007,0.005}),"")</f>
        <v>0</v>
      </c>
      <c r="AH21" s="18">
        <f>iferror(if(AF21="",H21,AF21)*AG21,"")</f>
        <v>0</v>
      </c>
      <c r="AI21" s="19" t="s">
        <v>269</v>
      </c>
      <c r="AJ21" s="20" t="s">
        <v>196</v>
      </c>
      <c r="AL21" s="18">
        <f>iferror(lookup(if(AK21="",H21,AK21),{0,1,15000,30000},{0.0,0.005,0.005,0.004}),"")</f>
        <v>0</v>
      </c>
      <c r="AM21" s="18">
        <f>iferror(if(AK21="",H21,AK21)*AL21,"")</f>
        <v>0</v>
      </c>
      <c r="AN21" s="19" t="s">
        <v>297</v>
      </c>
      <c r="AO21" s="17">
        <v>38000</v>
      </c>
      <c r="AQ21" s="18">
        <f>iferror(USD_GBP*lookup(if(AP21="",H21,AP21),{0,1,1000,5000,10000,15000},{0.0,0.005,0.005,0.005,0.005,0.005}),"")</f>
        <v>0</v>
      </c>
      <c r="AR21" s="18">
        <f>iferror(if(AP21="",H21,AP21)*AQ21,"")</f>
        <v>0</v>
      </c>
      <c r="AS21" s="19" t="s">
        <v>317</v>
      </c>
    </row>
    <row r="22" spans="1:45">
      <c r="A22" s="17" t="s">
        <v>85</v>
      </c>
      <c r="B22" s="17" t="s">
        <v>86</v>
      </c>
      <c r="C22" s="17" t="s">
        <v>87</v>
      </c>
      <c r="E22" s="17" t="s">
        <v>82</v>
      </c>
      <c r="F22" s="17" t="s">
        <v>83</v>
      </c>
      <c r="G22" s="17" t="s">
        <v>88</v>
      </c>
      <c r="H22" s="17">
        <f>BoardQty*3</f>
        <v>0</v>
      </c>
      <c r="I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2" s="18">
        <f>iferror(H22*I22,"")</f>
        <v>0</v>
      </c>
      <c r="P22" s="17">
        <v>9566</v>
      </c>
      <c r="R22" s="18">
        <f>iferror(lookup(if(Q22="",H22,Q22),{0,1,10,100,1000,2500,5000,15000},{0.0,0.1,0.028,0.0115,0.00518,0.0045,0.00371,0.00323}),"")</f>
        <v>0</v>
      </c>
      <c r="S22" s="18">
        <f>iferror(if(Q22="",H22,Q22)*R22,"")</f>
        <v>0</v>
      </c>
      <c r="T22" s="19" t="s">
        <v>205</v>
      </c>
      <c r="U22" s="20" t="s">
        <v>196</v>
      </c>
      <c r="W22" s="18">
        <f>iferror(USD_GBP*lookup(if(V22="",H22,V22),{0,1,30000},{0.0,0.0052,0.0052}),"")</f>
        <v>0</v>
      </c>
      <c r="X22" s="18">
        <f>iferror(if(V22="",H22,V22)*W22,"")</f>
        <v>0</v>
      </c>
      <c r="Y22" s="19" t="s">
        <v>234</v>
      </c>
      <c r="Z22" s="17">
        <v>3050</v>
      </c>
      <c r="AB22" s="18">
        <f>iferror(lookup(if(AA22="",H22,AA22),{0,1,50,500,1500,5000,25000,50000},{0.0,0.09872,0.09872,0.07373,0.06914,0.06455,0.06251,0.0615}),"")</f>
        <v>0</v>
      </c>
      <c r="AC22" s="18">
        <f>iferror(if(AA22="",H22,AA22)*AB22,"")</f>
        <v>0</v>
      </c>
      <c r="AD22" s="19" t="s">
        <v>255</v>
      </c>
      <c r="AE22" s="17">
        <v>240974</v>
      </c>
      <c r="AG22" s="18">
        <f>iferror(lookup(if(AF22="",H22,AF22),{0,1,10,50,100,1000,10000},{0.0,0.1,0.029,0.029,0.012,0.006,0.004}),"")</f>
        <v>0</v>
      </c>
      <c r="AH22" s="18">
        <f>iferror(if(AF22="",H22,AF22)*AG22,"")</f>
        <v>0</v>
      </c>
      <c r="AI22" s="19" t="s">
        <v>270</v>
      </c>
      <c r="AJ22" s="20" t="s">
        <v>196</v>
      </c>
      <c r="AL22" s="18">
        <f>iferror(lookup(if(AK22="",H22,AK22),{0,1,45000},{0.0,0.004,0.004}),"")</f>
        <v>0</v>
      </c>
      <c r="AM22" s="18">
        <f>iferror(if(AK22="",H22,AK22)*AL22,"")</f>
        <v>0</v>
      </c>
      <c r="AN22" s="19" t="s">
        <v>298</v>
      </c>
      <c r="AO22" s="17">
        <v>58000</v>
      </c>
      <c r="AQ22" s="18">
        <f>iferror(USD_GBP*lookup(if(AP22="",H22,AP22),{0,1,1000,5000,10000,15000},{0.0,0.011,0.011,0.009,0.008,0.006}),"")</f>
        <v>0</v>
      </c>
      <c r="AR22" s="18">
        <f>iferror(if(AP22="",H22,AP22)*AQ22,"")</f>
        <v>0</v>
      </c>
      <c r="AS22" s="19" t="s">
        <v>318</v>
      </c>
    </row>
    <row r="23" spans="1:45">
      <c r="A23" s="17" t="s">
        <v>89</v>
      </c>
      <c r="B23" s="17" t="s">
        <v>90</v>
      </c>
      <c r="C23" s="17" t="s">
        <v>91</v>
      </c>
      <c r="E23" s="17" t="s">
        <v>82</v>
      </c>
      <c r="F23" s="17" t="s">
        <v>83</v>
      </c>
      <c r="G23" s="17" t="s">
        <v>92</v>
      </c>
      <c r="H23" s="17">
        <f>BoardQty*2</f>
        <v>0</v>
      </c>
      <c r="I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3" s="18">
        <f>iferror(H23*I23,"")</f>
        <v>0</v>
      </c>
      <c r="P23" s="20" t="s">
        <v>196</v>
      </c>
      <c r="R23" s="18">
        <f>iferror(lookup(if(Q23="",H23,Q23),{0,1,10,25,50,100,250,500,1000,5000,15000,30000,75000},{0.0,0.1,0.025,0.018,0.0136,0.01,0.00764,0.00612,0.0045,0.00323,0.00281,0.00247,0.00231}),"")</f>
        <v>0</v>
      </c>
      <c r="S23" s="18">
        <f>iferror(if(Q23="",H23,Q23)*R23,"")</f>
        <v>0</v>
      </c>
      <c r="T23" s="19" t="s">
        <v>206</v>
      </c>
      <c r="U23" s="17">
        <v>120000</v>
      </c>
      <c r="W23" s="18">
        <f>iferror(USD_GBP*lookup(if(V23="",H23,V23),{0,1,10,100,150,500,2500,7500,15000,75000},{0.0,0.04,0.04,0.024,0.024,0.018,0.012,0.009,0.007,0.0051}),"")</f>
        <v>0</v>
      </c>
      <c r="X23" s="18">
        <f>iferror(if(V23="",H23,V23)*W23,"")</f>
        <v>0</v>
      </c>
      <c r="Y23" s="19" t="s">
        <v>235</v>
      </c>
      <c r="AE23" s="20" t="s">
        <v>196</v>
      </c>
      <c r="AG23" s="18">
        <f>iferror(lookup(if(AF23="",H23,AF23),{0,1,10,50,100,1000,10000},{0.0,0.1,0.029,0.029,0.012,0.006,0.004}),"")</f>
        <v>0</v>
      </c>
      <c r="AH23" s="18">
        <f>iferror(if(AF23="",H23,AF23)*AG23,"")</f>
        <v>0</v>
      </c>
      <c r="AI23" s="19" t="s">
        <v>271</v>
      </c>
      <c r="AJ23" s="17">
        <v>90000</v>
      </c>
      <c r="AL23" s="18">
        <f>iferror(lookup(if(AK23="",H23,AK23),{0,1,25,100,250,500,1000,2500,5000,10000,15000,20000},{0.0,0.008,0.021,0.009,0.008,0.007,0.006,0.005,0.004,0.007,0.007,0.006}),"")</f>
        <v>0</v>
      </c>
      <c r="AM23" s="18">
        <f>iferror(if(AK23="",H23,AK23)*AL23,"")</f>
        <v>0</v>
      </c>
      <c r="AN23" s="19" t="s">
        <v>299</v>
      </c>
      <c r="AO23" s="17">
        <v>772637</v>
      </c>
      <c r="AQ23" s="18">
        <f>iferror(USD_GBP*lookup(if(AP23="",H23,AP23),{0,1,1000,15000},{0.0,0.004,0.004,0.005}),"")</f>
        <v>0</v>
      </c>
      <c r="AR23" s="18">
        <f>iferror(if(AP23="",H23,AP23)*AQ23,"")</f>
        <v>0</v>
      </c>
      <c r="AS23" s="19" t="s">
        <v>319</v>
      </c>
    </row>
    <row r="24" spans="1:45">
      <c r="A24" s="17" t="s">
        <v>93</v>
      </c>
      <c r="B24" s="17" t="s">
        <v>94</v>
      </c>
      <c r="C24" s="17" t="s">
        <v>95</v>
      </c>
      <c r="E24" s="17" t="s">
        <v>82</v>
      </c>
      <c r="F24" s="17" t="s">
        <v>83</v>
      </c>
      <c r="G24" s="17" t="s">
        <v>96</v>
      </c>
      <c r="H24" s="17">
        <f>BoardQty*1</f>
        <v>0</v>
      </c>
      <c r="I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4" s="18">
        <f>iferror(H24*I24,"")</f>
        <v>0</v>
      </c>
      <c r="P24" s="20" t="s">
        <v>196</v>
      </c>
      <c r="R24" s="18">
        <f>iferror(lookup(if(Q24="",H24,Q24),{0,1,10,100,1000,2500,5000,15000},{0.0,0.1,0.028,0.0115,0.00518,0.0045,0.00371,0.00323}),"")</f>
        <v>0</v>
      </c>
      <c r="S24" s="18">
        <f>iferror(if(Q24="",H24,Q24)*R24,"")</f>
        <v>0</v>
      </c>
      <c r="T24" s="19" t="s">
        <v>207</v>
      </c>
      <c r="U24" s="20" t="s">
        <v>196</v>
      </c>
      <c r="W24" s="18">
        <f>iferror(USD_GBP*lookup(if(V24="",H24,V24),{0,1,30000},{0.0,0.0052,0.0052}),"")</f>
        <v>0</v>
      </c>
      <c r="X24" s="18">
        <f>iferror(if(V24="",H24,V24)*W24,"")</f>
        <v>0</v>
      </c>
      <c r="Y24" s="19" t="s">
        <v>236</v>
      </c>
      <c r="AE24" s="17">
        <v>681</v>
      </c>
      <c r="AG24" s="18">
        <f>iferror(lookup(if(AF24="",H24,AF24),{0,1,10,50,100,1000,10000},{0.0,0.1,0.031,0.031,0.014,0.007,0.005}),"")</f>
        <v>0</v>
      </c>
      <c r="AH24" s="18">
        <f>iferror(if(AF24="",H24,AF24)*AG24,"")</f>
        <v>0</v>
      </c>
      <c r="AI24" s="19" t="s">
        <v>272</v>
      </c>
      <c r="AJ24" s="20" t="s">
        <v>196</v>
      </c>
      <c r="AL24" s="18">
        <f>iferror(lookup(if(AK24="",H24,AK24),{0,1,15000},{0.0,0.006,0.006}),"")</f>
        <v>0</v>
      </c>
      <c r="AM24" s="18">
        <f>iferror(if(AK24="",H24,AK24)*AL24,"")</f>
        <v>0</v>
      </c>
      <c r="AN24" s="19" t="s">
        <v>300</v>
      </c>
    </row>
    <row r="25" spans="1:45">
      <c r="A25" s="17" t="s">
        <v>97</v>
      </c>
      <c r="B25" s="17" t="s">
        <v>98</v>
      </c>
      <c r="C25" s="17" t="s">
        <v>99</v>
      </c>
      <c r="E25" s="17" t="s">
        <v>82</v>
      </c>
      <c r="F25" s="17" t="s">
        <v>83</v>
      </c>
      <c r="G25" s="17" t="s">
        <v>100</v>
      </c>
      <c r="H25" s="17">
        <f>BoardQty*2</f>
        <v>0</v>
      </c>
      <c r="I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5" s="18">
        <f>iferror(H25*I25,"")</f>
        <v>0</v>
      </c>
      <c r="P25" s="17">
        <v>95335</v>
      </c>
      <c r="R25" s="18">
        <f>iferror(lookup(if(Q25="",H25,Q25),{0,1,10,100,1000,2500,5000,15000},{0.0,0.1,0.028,0.0115,0.00518,0.0045,0.00371,0.00323}),"")</f>
        <v>0</v>
      </c>
      <c r="S25" s="18">
        <f>iferror(if(Q25="",H25,Q25)*R25,"")</f>
        <v>0</v>
      </c>
      <c r="T25" s="19" t="s">
        <v>208</v>
      </c>
      <c r="U25" s="20" t="s">
        <v>196</v>
      </c>
      <c r="W25" s="18">
        <f>iferror(USD_GBP*lookup(if(V25="",H25,V25),{0,1,30000},{0.0,0.007,0.007}),"")</f>
        <v>0</v>
      </c>
      <c r="X25" s="18">
        <f>iferror(if(V25="",H25,V25)*W25,"")</f>
        <v>0</v>
      </c>
      <c r="Y25" s="19" t="s">
        <v>237</v>
      </c>
      <c r="AE25" s="17">
        <v>38452</v>
      </c>
      <c r="AG25" s="18">
        <f>iferror(lookup(if(AF25="",H25,AF25),{0,1,10,50,100,1000,10000},{0.0,0.1,0.029,0.029,0.012,0.006,0.004}),"")</f>
        <v>0</v>
      </c>
      <c r="AH25" s="18">
        <f>iferror(if(AF25="",H25,AF25)*AG25,"")</f>
        <v>0</v>
      </c>
      <c r="AI25" s="19" t="s">
        <v>273</v>
      </c>
      <c r="AJ25" s="20" t="s">
        <v>196</v>
      </c>
      <c r="AL25" s="18">
        <f>iferror(lookup(if(AK25="",H25,AK25),{0,1,15000,30000},{0.0,0.005,0.005,0.004}),"")</f>
        <v>0</v>
      </c>
      <c r="AM25" s="18">
        <f>iferror(if(AK25="",H25,AK25)*AL25,"")</f>
        <v>0</v>
      </c>
      <c r="AN25" s="19" t="s">
        <v>301</v>
      </c>
      <c r="AO25" s="17">
        <v>28000</v>
      </c>
      <c r="AQ25" s="18">
        <f>iferror(USD_GBP*lookup(if(AP25="",H25,AP25),{0,1,1000,5000,10000,15000},{0.0,0.005,0.005,0.005,0.005,0.004}),"")</f>
        <v>0</v>
      </c>
      <c r="AR25" s="18">
        <f>iferror(if(AP25="",H25,AP25)*AQ25,"")</f>
        <v>0</v>
      </c>
      <c r="AS25" s="19" t="s">
        <v>320</v>
      </c>
    </row>
    <row r="26" spans="1:45">
      <c r="A26" s="17" t="s">
        <v>101</v>
      </c>
      <c r="B26" s="17" t="s">
        <v>102</v>
      </c>
      <c r="C26" s="17" t="s">
        <v>103</v>
      </c>
      <c r="E26" s="17" t="s">
        <v>82</v>
      </c>
      <c r="F26" s="17" t="s">
        <v>83</v>
      </c>
      <c r="G26" s="17" t="s">
        <v>104</v>
      </c>
      <c r="H26" s="17">
        <f>BoardQty*2</f>
        <v>0</v>
      </c>
      <c r="I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6" s="18">
        <f>iferror(H26*I26,"")</f>
        <v>0</v>
      </c>
      <c r="P26" s="20" t="s">
        <v>196</v>
      </c>
      <c r="R26" s="18">
        <f>iferror(lookup(if(Q26="",H26,Q26),{0,1,10,100,1000,2500,5000,15000},{0.0,0.1,0.053,0.0217,0.00975,0.00846,0.00699,0.00607}),"")</f>
        <v>0</v>
      </c>
      <c r="S26" s="18">
        <f>iferror(if(Q26="",H26,Q26)*R26,"")</f>
        <v>0</v>
      </c>
      <c r="T26" s="19" t="s">
        <v>209</v>
      </c>
      <c r="U26" s="17">
        <v>30000</v>
      </c>
      <c r="W26" s="18">
        <f>iferror(USD_GBP*lookup(if(V26="",H26,V26),{0,1,10,100,150,500,2500,7500,15000},{0.0,0.0257,0.0257,0.0141,0.0141,0.0087,0.0046,0.0041,0.0029}),"")</f>
        <v>0</v>
      </c>
      <c r="X26" s="18">
        <f>iferror(if(V26="",H26,V26)*W26,"")</f>
        <v>0</v>
      </c>
      <c r="Y26" s="19" t="s">
        <v>238</v>
      </c>
      <c r="AE26" s="17">
        <v>15038</v>
      </c>
      <c r="AG26" s="18">
        <f>iferror(lookup(if(AF26="",H26,AF26),{0,1,10,50,100,1000,10000},{0.0,0.1,0.056,0.056,0.024,0.012,0.009}),"")</f>
        <v>0</v>
      </c>
      <c r="AH26" s="18">
        <f>iferror(if(AF26="",H26,AF26)*AG26,"")</f>
        <v>0</v>
      </c>
      <c r="AI26" s="19" t="s">
        <v>274</v>
      </c>
      <c r="AJ26" s="17">
        <v>45000</v>
      </c>
      <c r="AL26" s="18">
        <f>iferror(lookup(if(AK26="",H26,AK26),{0,1,10,25,50,100,15000},{0.0,0.11,0.062,0.05,0.038,0.026,0.009}),"")</f>
        <v>0</v>
      </c>
      <c r="AM26" s="18">
        <f>iferror(if(AK26="",H26,AK26)*AL26,"")</f>
        <v>0</v>
      </c>
      <c r="AN26" s="19" t="s">
        <v>302</v>
      </c>
    </row>
    <row r="27" spans="1:45">
      <c r="A27" s="17" t="s">
        <v>105</v>
      </c>
      <c r="B27" s="17" t="s">
        <v>86</v>
      </c>
      <c r="C27" s="17" t="s">
        <v>106</v>
      </c>
      <c r="E27" s="17" t="s">
        <v>82</v>
      </c>
      <c r="F27" s="17" t="s">
        <v>83</v>
      </c>
      <c r="G27" s="17" t="s">
        <v>107</v>
      </c>
      <c r="H27" s="17">
        <f>BoardQty*1</f>
        <v>0</v>
      </c>
      <c r="I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7" s="18">
        <f>iferror(H27*I27,"")</f>
        <v>0</v>
      </c>
      <c r="P27" s="17">
        <v>434245</v>
      </c>
      <c r="R27" s="18">
        <f>iferror(lookup(if(Q27="",H27,Q27),{0,1,10,100,1000,2500,5000,15000},{0.0,0.1,0.053,0.0217,0.00975,0.00846,0.00699,0.00607}),"")</f>
        <v>0</v>
      </c>
      <c r="S27" s="18">
        <f>iferror(if(Q27="",H27,Q27)*R27,"")</f>
        <v>0</v>
      </c>
      <c r="T27" s="19" t="s">
        <v>210</v>
      </c>
      <c r="U27" s="17">
        <v>120000</v>
      </c>
      <c r="W27" s="18">
        <f>iferror(USD_GBP*lookup(if(V27="",H27,V27),{0,1,10,100,150,500,2500,7500,15000,75000},{0.0,0.0558,0.0558,0.0227,0.0227,0.0097,0.0081,0.0072,0.0056,0.0054}),"")</f>
        <v>0</v>
      </c>
      <c r="X27" s="18">
        <f>iferror(if(V27="",H27,V27)*W27,"")</f>
        <v>0</v>
      </c>
      <c r="Y27" s="19" t="s">
        <v>239</v>
      </c>
      <c r="Z27" s="17">
        <v>15000</v>
      </c>
      <c r="AB27" s="18">
        <f>iferror(lookup(if(AA27="",H27,AA27),{0,1,50,500,1500,5000,25000,50000},{0.0,0.05893,0.05893,0.04424,0.04154,0.03884,0.03764,0.03705}),"")</f>
        <v>0</v>
      </c>
      <c r="AC27" s="18">
        <f>iferror(if(AA27="",H27,AA27)*AB27,"")</f>
        <v>0</v>
      </c>
      <c r="AD27" s="19" t="s">
        <v>256</v>
      </c>
      <c r="AE27" s="17">
        <v>521641</v>
      </c>
      <c r="AG27" s="18">
        <f>iferror(lookup(if(AF27="",H27,AF27),{0,1,10,50,100,1000,10000},{0.0,0.1,0.053,0.053,0.022,0.01,0.007}),"")</f>
        <v>0</v>
      </c>
      <c r="AH27" s="18">
        <f>iferror(if(AF27="",H27,AF27)*AG27,"")</f>
        <v>0</v>
      </c>
      <c r="AI27" s="19" t="s">
        <v>275</v>
      </c>
      <c r="AJ27" s="17">
        <v>120000</v>
      </c>
      <c r="AL27" s="18">
        <f>iferror(lookup(if(AK27="",H27,AK27),{0,1,10,25,50,100,250,500,1000,2500,5000,15000},{0.0,0.114,0.057,0.066,0.035,0.027,0.022,0.016,0.011,0.01,0.009,0.009}),"")</f>
        <v>0</v>
      </c>
      <c r="AM27" s="18">
        <f>iferror(if(AK27="",H27,AK27)*AL27,"")</f>
        <v>0</v>
      </c>
      <c r="AN27" s="19" t="s">
        <v>303</v>
      </c>
      <c r="AO27" s="17">
        <v>699000</v>
      </c>
      <c r="AQ27" s="18">
        <f>iferror(USD_GBP*lookup(if(AP27="",H27,AP27),{0,1,1000,15000},{0.0,0.007,0.007,0.006}),"")</f>
        <v>0</v>
      </c>
      <c r="AR27" s="18">
        <f>iferror(if(AP27="",H27,AP27)*AQ27,"")</f>
        <v>0</v>
      </c>
      <c r="AS27" s="19" t="s">
        <v>321</v>
      </c>
    </row>
    <row r="28" spans="1:45">
      <c r="A28" s="17" t="s">
        <v>108</v>
      </c>
      <c r="B28" s="17" t="s">
        <v>109</v>
      </c>
      <c r="C28" s="17" t="s">
        <v>110</v>
      </c>
      <c r="E28" s="17" t="s">
        <v>82</v>
      </c>
      <c r="F28" s="17" t="s">
        <v>83</v>
      </c>
      <c r="G28" s="17" t="s">
        <v>111</v>
      </c>
      <c r="H28" s="17">
        <f>BoardQty*2</f>
        <v>0</v>
      </c>
      <c r="I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8" s="18">
        <f>iferror(H28*I28,"")</f>
        <v>0</v>
      </c>
      <c r="P28" s="17">
        <v>35374</v>
      </c>
      <c r="R28" s="18">
        <f>iferror(lookup(if(Q28="",H28,Q28),{0,1,10,100,1000,2500,5000,15000},{0.0,0.1,0.028,0.0115,0.00518,0.0045,0.00371,0.00323}),"")</f>
        <v>0</v>
      </c>
      <c r="S28" s="18">
        <f>iferror(if(Q28="",H28,Q28)*R28,"")</f>
        <v>0</v>
      </c>
      <c r="T28" s="19" t="s">
        <v>211</v>
      </c>
      <c r="U28" s="20" t="s">
        <v>196</v>
      </c>
      <c r="W28" s="18">
        <f>iferror(USD_GBP*lookup(if(V28="",H28,V28),{0,1,30000},{0.0,0.0052,0.0052}),"")</f>
        <v>0</v>
      </c>
      <c r="X28" s="18">
        <f>iferror(if(V28="",H28,V28)*W28,"")</f>
        <v>0</v>
      </c>
      <c r="Y28" s="19" t="s">
        <v>240</v>
      </c>
      <c r="AE28" s="17">
        <v>76126</v>
      </c>
      <c r="AG28" s="18">
        <f>iferror(lookup(if(AF28="",H28,AF28),{0,1,10,50,100,1000,10000},{0.0,0.1,0.029,0.029,0.012,0.006,0.004}),"")</f>
        <v>0</v>
      </c>
      <c r="AH28" s="18">
        <f>iferror(if(AF28="",H28,AF28)*AG28,"")</f>
        <v>0</v>
      </c>
      <c r="AI28" s="19" t="s">
        <v>276</v>
      </c>
      <c r="AJ28" s="20" t="s">
        <v>196</v>
      </c>
      <c r="AL28" s="18">
        <f>iferror(lookup(if(AK28="",H28,AK28),{0,1,15000,30000},{0.0,0.005,0.005,0.004}),"")</f>
        <v>0</v>
      </c>
      <c r="AM28" s="18">
        <f>iferror(if(AK28="",H28,AK28)*AL28,"")</f>
        <v>0</v>
      </c>
      <c r="AN28" s="19" t="s">
        <v>304</v>
      </c>
    </row>
    <row r="29" spans="1:45">
      <c r="A29" s="17" t="s">
        <v>112</v>
      </c>
      <c r="B29" s="17" t="s">
        <v>113</v>
      </c>
      <c r="C29" s="17" t="s">
        <v>114</v>
      </c>
      <c r="E29" s="17" t="s">
        <v>82</v>
      </c>
      <c r="F29" s="17" t="s">
        <v>83</v>
      </c>
      <c r="G29" s="17" t="s">
        <v>115</v>
      </c>
      <c r="H29" s="17">
        <f>BoardQty*1</f>
        <v>0</v>
      </c>
      <c r="I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9" s="18">
        <f>iferror(H29*I29,"")</f>
        <v>0</v>
      </c>
      <c r="P29" s="17">
        <v>198630</v>
      </c>
      <c r="R29" s="18">
        <f>iferror(lookup(if(Q29="",H29,Q29),{0,1,10,100,1000,2500,5000,15000},{0.0,0.1,0.028,0.0115,0.00518,0.0045,0.00371,0.00323}),"")</f>
        <v>0</v>
      </c>
      <c r="S29" s="18">
        <f>iferror(if(Q29="",H29,Q29)*R29,"")</f>
        <v>0</v>
      </c>
      <c r="T29" s="19" t="s">
        <v>212</v>
      </c>
      <c r="U29" s="20" t="s">
        <v>196</v>
      </c>
      <c r="W29" s="18">
        <f>iferror(USD_GBP*lookup(if(V29="",H29,V29),{0,1,30000},{0.0,0.0052,0.0052}),"")</f>
        <v>0</v>
      </c>
      <c r="X29" s="18">
        <f>iferror(if(V29="",H29,V29)*W29,"")</f>
        <v>0</v>
      </c>
      <c r="Y29" s="19" t="s">
        <v>241</v>
      </c>
      <c r="Z29" s="17">
        <v>14850</v>
      </c>
      <c r="AB29" s="18">
        <f>iferror(lookup(if(AA29="",H29,AA29),{0,1,50,500,1500,5000,25000,50000},{0.0,0.03493,0.03493,0.02618,0.02457,0.02296,0.02225,0.02189}),"")</f>
        <v>0</v>
      </c>
      <c r="AC29" s="18">
        <f>iferror(if(AA29="",H29,AA29)*AB29,"")</f>
        <v>0</v>
      </c>
      <c r="AD29" s="19" t="s">
        <v>257</v>
      </c>
      <c r="AE29" s="17">
        <v>36714</v>
      </c>
      <c r="AG29" s="18">
        <f>iferror(lookup(if(AF29="",H29,AF29),{0,1,10,50,100,1000,10000},{0.0,0.1,0.029,0.029,0.012,0.006,0.005}),"")</f>
        <v>0</v>
      </c>
      <c r="AH29" s="18">
        <f>iferror(if(AF29="",H29,AF29)*AG29,"")</f>
        <v>0</v>
      </c>
      <c r="AI29" s="19" t="s">
        <v>277</v>
      </c>
      <c r="AJ29" s="20" t="s">
        <v>196</v>
      </c>
      <c r="AL29" s="18">
        <f>iferror(lookup(if(AK29="",H29,AK29),{0,1,5000,10000,15000},{0.0,0.008,0.007,0.006,0.006}),"")</f>
        <v>0</v>
      </c>
      <c r="AM29" s="18">
        <f>iferror(if(AK29="",H29,AK29)*AL29,"")</f>
        <v>0</v>
      </c>
      <c r="AN29" s="19" t="s">
        <v>305</v>
      </c>
      <c r="AO29" s="17">
        <v>37000</v>
      </c>
      <c r="AQ29" s="18">
        <f>iferror(USD_GBP*lookup(if(AP29="",H29,AP29),{0,1,1000,5000,10000,15000},{0.0,0.004,0.004,0.004,0.004,0.004}),"")</f>
        <v>0</v>
      </c>
      <c r="AR29" s="18">
        <f>iferror(if(AP29="",H29,AP29)*AQ29,"")</f>
        <v>0</v>
      </c>
      <c r="AS29" s="19" t="s">
        <v>322</v>
      </c>
    </row>
    <row r="30" spans="1:45">
      <c r="A30" s="17" t="s">
        <v>116</v>
      </c>
      <c r="B30" s="17" t="s">
        <v>117</v>
      </c>
      <c r="C30" s="17" t="s">
        <v>118</v>
      </c>
      <c r="E30" s="17" t="s">
        <v>119</v>
      </c>
      <c r="F30" s="17" t="s">
        <v>120</v>
      </c>
      <c r="G30" s="17" t="s">
        <v>117</v>
      </c>
      <c r="H30" s="17">
        <f>BoardQty*1</f>
        <v>0</v>
      </c>
      <c r="I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0" s="18">
        <f>iferror(H30*I30,"")</f>
        <v>0</v>
      </c>
      <c r="P30" s="17">
        <v>6438</v>
      </c>
      <c r="R30" s="18">
        <f>iferror(lookup(if(Q30="",H30,Q30),{0,1,10,25,100,250,500,1000,2500,8500,17000},{0.0,0.22,0.211,0.2,0.1819,0.171,0.15644,0.13097,0.12733,0.12005,0.11278}),"")</f>
        <v>0</v>
      </c>
      <c r="S30" s="18">
        <f>iferror(if(Q30="",H30,Q30)*R30,"")</f>
        <v>0</v>
      </c>
      <c r="T30" s="19" t="s">
        <v>213</v>
      </c>
      <c r="U30" s="17">
        <v>882</v>
      </c>
      <c r="W30" s="18">
        <f>iferror(USD_GBP*lookup(if(V30="",H30,V30),{0,1,10,50,100,500},{0.0,0.151,0.151,0.143,0.13,0.112}),"")</f>
        <v>0</v>
      </c>
      <c r="X30" s="18">
        <f>iferror(if(V30="",H30,V30)*W30,"")</f>
        <v>0</v>
      </c>
      <c r="Y30" s="19" t="s">
        <v>242</v>
      </c>
      <c r="AE30" s="17">
        <v>9735</v>
      </c>
      <c r="AG30" s="18">
        <f>iferror(lookup(if(AF30="",H30,AF30),{0,1,10,50,100,1000,10000},{0.0,0.23,0.218,0.201,0.189,0.154,0.154}),"")</f>
        <v>0</v>
      </c>
      <c r="AH30" s="18">
        <f>iferror(if(AF30="",H30,AF30)*AG30,"")</f>
        <v>0</v>
      </c>
      <c r="AI30" s="19" t="s">
        <v>278</v>
      </c>
      <c r="AJ30" s="17">
        <v>7158</v>
      </c>
      <c r="AL30" s="18">
        <f>iferror(lookup(if(AK30="",H30,AK30),{0,1,8500,100000},{0.0,0.157,0.172,0.144}),"")</f>
        <v>0</v>
      </c>
      <c r="AM30" s="18">
        <f>iferror(if(AK30="",H30,AK30)*AL30,"")</f>
        <v>0</v>
      </c>
      <c r="AN30" s="19" t="s">
        <v>306</v>
      </c>
    </row>
    <row r="31" spans="1:45">
      <c r="A31" s="17" t="s">
        <v>121</v>
      </c>
      <c r="B31" s="17" t="s">
        <v>122</v>
      </c>
      <c r="C31" s="17" t="s">
        <v>123</v>
      </c>
      <c r="E31" s="17" t="s">
        <v>124</v>
      </c>
      <c r="F31" s="17" t="s">
        <v>125</v>
      </c>
      <c r="G31" s="17" t="s">
        <v>122</v>
      </c>
      <c r="H31" s="17">
        <f>BoardQty*2</f>
        <v>0</v>
      </c>
      <c r="I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1" s="18">
        <f>iferror(H31*I31,"")</f>
        <v>0</v>
      </c>
      <c r="P31" s="17">
        <v>481</v>
      </c>
      <c r="R31" s="18">
        <f>iferror(lookup(if(Q31="",H31,Q31),{0,1,10,25,100,250,500,1000,3000,6000,15000},{0.0,0.46,0.343,0.3004,0.1945,0.161,0.1288,0.09874,0.08586,0.07727,0.07087}),"")</f>
        <v>0</v>
      </c>
      <c r="S31" s="18">
        <f>iferror(if(Q31="",H31,Q31)*R31,"")</f>
        <v>0</v>
      </c>
      <c r="T31" s="19" t="s">
        <v>214</v>
      </c>
      <c r="U31" s="17">
        <v>1937</v>
      </c>
      <c r="W31" s="18">
        <f>iferror(USD_GBP*lookup(if(V31="",H31,V31),{0,1,5,10,100,500},{0.0,0.543,0.543,0.397,0.18,0.103}),"")</f>
        <v>0</v>
      </c>
      <c r="X31" s="18">
        <f>iferror(if(V31="",H31,V31)*W31,"")</f>
        <v>0</v>
      </c>
      <c r="Y31" s="19" t="s">
        <v>243</v>
      </c>
      <c r="AE31" s="17">
        <v>7606</v>
      </c>
      <c r="AG31" s="18">
        <f>iferror(lookup(if(AF31="",H31,AF31),{0,1,10,50,100,1000,10000},{0.0,0.46,0.343,0.343,0.172,0.099,0.077}),"")</f>
        <v>0</v>
      </c>
      <c r="AH31" s="18">
        <f>iferror(if(AF31="",H31,AF31)*AG31,"")</f>
        <v>0</v>
      </c>
      <c r="AI31" s="19" t="s">
        <v>279</v>
      </c>
      <c r="AJ31" s="17">
        <v>1912</v>
      </c>
      <c r="AL31" s="18">
        <f>iferror(lookup(if(AK31="",H31,AK31),{0,1,5,10,100,6000,9000,18000,48000,90000},{0.0,0.399,0.399,0.326,0.151,0.065,0.065,0.061,0.056,0.053}),"")</f>
        <v>0</v>
      </c>
      <c r="AM31" s="18">
        <f>iferror(if(AK31="",H31,AK31)*AL31,"")</f>
        <v>0</v>
      </c>
      <c r="AN31" s="19" t="s">
        <v>307</v>
      </c>
      <c r="AO31" s="17">
        <v>3000</v>
      </c>
      <c r="AQ31" s="18">
        <f>iferror(USD_GBP*lookup(if(AP31="",H31,AP31),{0,1,30,120,1020,3000,9000,24000,45000,99000},{0.0,0.035,0.035,0.032,0.03,0.029,0.028,0.03,0.029,0.028}),"")</f>
        <v>0</v>
      </c>
      <c r="AR31" s="18">
        <f>iferror(if(AP31="",H31,AP31)*AQ31,"")</f>
        <v>0</v>
      </c>
      <c r="AS31" s="19" t="s">
        <v>323</v>
      </c>
    </row>
    <row r="32" spans="1:45">
      <c r="A32" s="17" t="s">
        <v>126</v>
      </c>
      <c r="B32" s="17" t="s">
        <v>127</v>
      </c>
      <c r="C32" s="17" t="s">
        <v>128</v>
      </c>
      <c r="E32" s="17" t="s">
        <v>129</v>
      </c>
      <c r="F32" s="17" t="s">
        <v>130</v>
      </c>
      <c r="G32" s="17" t="s">
        <v>127</v>
      </c>
      <c r="H32" s="17">
        <f>BoardQty*1</f>
        <v>0</v>
      </c>
      <c r="I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2" s="18">
        <f>iferror(H32*I32,"")</f>
        <v>0</v>
      </c>
      <c r="P32" s="20" t="s">
        <v>196</v>
      </c>
      <c r="R32" s="18">
        <f>iferror(lookup(if(Q32="",H32,Q32),{0,1,25,100,2000},{0.0,6.0,5.25,5.005,5.005}),"")</f>
        <v>0</v>
      </c>
      <c r="S32" s="18">
        <f>iferror(if(Q32="",H32,Q32)*R32,"")</f>
        <v>0</v>
      </c>
      <c r="T32" s="19" t="s">
        <v>215</v>
      </c>
      <c r="U32" s="20" t="s">
        <v>196</v>
      </c>
      <c r="W32" s="18">
        <f>iferror(USD_GBP*lookup(if(V32="",H32,V32),{0,1,25,100,150},{0.0,4.86,4.26,4.06,4.06}),"")</f>
        <v>0</v>
      </c>
      <c r="X32" s="18">
        <f>iferror(if(V32="",H32,V32)*W32,"")</f>
        <v>0</v>
      </c>
      <c r="Y32" s="19" t="s">
        <v>244</v>
      </c>
      <c r="AE32" s="17">
        <v>8369</v>
      </c>
      <c r="AG32" s="18">
        <f>iferror(lookup(if(AF32="",H32,AF32),{0,1,10,50,100,1000,10000},{0.0,6.06,6.06,5.31,5.06,5.06,5.05}),"")</f>
        <v>0</v>
      </c>
      <c r="AH32" s="18">
        <f>iferror(if(AF32="",H32,AF32)*AG32,"")</f>
        <v>0</v>
      </c>
      <c r="AI32" s="19" t="s">
        <v>280</v>
      </c>
      <c r="AJ32" s="20" t="s">
        <v>196</v>
      </c>
      <c r="AL32" s="18">
        <f>iferror(lookup(if(AK32="",H32,AK32),{0,1,10,25,2000,4000,8000,12000},{0.0,5.56,6.03,5.77,5.43,5.27,4.95,4.72}),"")</f>
        <v>0</v>
      </c>
      <c r="AM32" s="18">
        <f>iferror(if(AK32="",H32,AK32)*AL32,"")</f>
        <v>0</v>
      </c>
      <c r="AN32" s="19" t="s">
        <v>308</v>
      </c>
    </row>
    <row r="33" spans="1:50">
      <c r="A33" s="17" t="s">
        <v>131</v>
      </c>
      <c r="B33" s="17" t="s">
        <v>132</v>
      </c>
      <c r="C33" s="17" t="s">
        <v>133</v>
      </c>
      <c r="E33" s="17" t="s">
        <v>124</v>
      </c>
      <c r="F33" s="17" t="s">
        <v>125</v>
      </c>
      <c r="G33" s="17" t="s">
        <v>132</v>
      </c>
      <c r="H33" s="17">
        <f>BoardQty*1</f>
        <v>0</v>
      </c>
      <c r="I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3" s="18">
        <f>iferror(H33*I33,"")</f>
        <v>0</v>
      </c>
      <c r="P33" s="20" t="s">
        <v>196</v>
      </c>
      <c r="R33" s="18">
        <f>iferror(lookup(if(Q33="",H33,Q33),{0,1,10,25,100,250,500,1000,3000},{0.0,0.47,0.402,0.3756,0.3004,0.27892,0.236,0.18236,0.1771}),"")</f>
        <v>0</v>
      </c>
      <c r="S33" s="18">
        <f>iferror(if(Q33="",H33,Q33)*R33,"")</f>
        <v>0</v>
      </c>
      <c r="T33" s="19" t="s">
        <v>216</v>
      </c>
      <c r="U33" s="20" t="s">
        <v>196</v>
      </c>
      <c r="W33" s="18">
        <f>iferror(USD_GBP*lookup(if(V33="",H33,V33),{0,1,5,10,100,150,500},{0.0,0.554,0.554,0.464,0.286,0.286,0.189}),"")</f>
        <v>0</v>
      </c>
      <c r="X33" s="18">
        <f>iferror(if(V33="",H33,V33)*W33,"")</f>
        <v>0</v>
      </c>
      <c r="Y33" s="19" t="s">
        <v>245</v>
      </c>
      <c r="AE33" s="17">
        <v>36882</v>
      </c>
      <c r="AG33" s="18">
        <f>iferror(lookup(if(AF33="",H33,AF33),{0,1,10,50,100,1000,10000},{0.0,0.47,0.376,0.376,0.279,0.183,0.166}),"")</f>
        <v>0</v>
      </c>
      <c r="AH33" s="18">
        <f>iferror(if(AF33="",H33,AF33)*AG33,"")</f>
        <v>0</v>
      </c>
      <c r="AI33" s="19" t="s">
        <v>281</v>
      </c>
      <c r="AJ33" s="20" t="s">
        <v>196</v>
      </c>
      <c r="AL33" s="18">
        <f>iferror(lookup(if(AK33="",H33,AK33),{0,1,5,10,100,3000,6000,12000,18000,24000},{0.0,0.646,0.646,0.538,0.384,0.146,0.143,0.14,0.138,0.136}),"")</f>
        <v>0</v>
      </c>
      <c r="AM33" s="18">
        <f>iferror(if(AK33="",H33,AK33)*AL33,"")</f>
        <v>0</v>
      </c>
      <c r="AN33" s="19" t="s">
        <v>309</v>
      </c>
      <c r="AO33" s="17">
        <v>12</v>
      </c>
      <c r="AQ33" s="18">
        <f>iferror(USD_GBP*lookup(if(AP33="",H33,AP33),{0,1,18,108,1008,3000,3006,9000},{0.0,0.317,0.317,0.162,0.122,0.131,0.101,0.147}),"")</f>
        <v>0</v>
      </c>
      <c r="AR33" s="18">
        <f>iferror(if(AP33="",H33,AP33)*AQ33,"")</f>
        <v>0</v>
      </c>
      <c r="AS33" s="19" t="s">
        <v>324</v>
      </c>
    </row>
    <row r="34" spans="1:50">
      <c r="A34" s="17" t="s">
        <v>134</v>
      </c>
      <c r="B34" s="17" t="s">
        <v>135</v>
      </c>
      <c r="C34" s="17" t="s">
        <v>136</v>
      </c>
      <c r="E34" s="17" t="s">
        <v>137</v>
      </c>
      <c r="F34" s="17" t="s">
        <v>138</v>
      </c>
      <c r="G34" s="17" t="s">
        <v>135</v>
      </c>
      <c r="H34" s="17">
        <f>BoardQty*1</f>
        <v>0</v>
      </c>
      <c r="I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4" s="18">
        <f>iferror(H34*I34,"")</f>
        <v>0</v>
      </c>
      <c r="P34" s="20" t="s">
        <v>196</v>
      </c>
      <c r="R34" s="18">
        <f>iferror(lookup(if(Q34="",H34,Q34),{0,1,2000},{0.0,1.61,1.61}),"")</f>
        <v>0</v>
      </c>
      <c r="S34" s="18">
        <f>iferror(if(Q34="",H34,Q34)*R34,"")</f>
        <v>0</v>
      </c>
      <c r="T34" s="19" t="s">
        <v>217</v>
      </c>
      <c r="Z34" s="17">
        <v>1934</v>
      </c>
      <c r="AB34" s="18">
        <f>iferror(lookup(if(AA34="",H34,AA34),{0,1,10,30,100,500,1000},{0.0,7.58,5.55,5.18,4.8,4.64,4.56}),"")</f>
        <v>0</v>
      </c>
      <c r="AC34" s="18">
        <f>iferror(if(AA34="",H34,AA34)*AB34,"")</f>
        <v>0</v>
      </c>
      <c r="AD34" s="19" t="s">
        <v>258</v>
      </c>
      <c r="AE34" s="17">
        <v>627</v>
      </c>
      <c r="AG34" s="18">
        <f>iferror(lookup(if(AF34="",H34,AF34),{0,1,10,50,100,1000,10000},{0.0,2.87,2.59,2.44,2.08,1.42,1.41}),"")</f>
        <v>0</v>
      </c>
      <c r="AH34" s="18">
        <f>iferror(if(AF34="",H34,AF34)*AG34,"")</f>
        <v>0</v>
      </c>
      <c r="AI34" s="19" t="s">
        <v>282</v>
      </c>
    </row>
    <row r="35" spans="1:50">
      <c r="A35" s="17" t="s">
        <v>139</v>
      </c>
      <c r="B35" s="17" t="s">
        <v>140</v>
      </c>
      <c r="C35" s="17" t="s">
        <v>141</v>
      </c>
      <c r="D35" s="17" t="s">
        <v>144</v>
      </c>
      <c r="E35" s="17" t="s">
        <v>142</v>
      </c>
      <c r="F35" s="17" t="s">
        <v>143</v>
      </c>
      <c r="G35" s="17" t="s">
        <v>140</v>
      </c>
      <c r="H35" s="17">
        <f>BoardQty*1</f>
        <v>0</v>
      </c>
      <c r="I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5" s="18">
        <f>iferror(H35*I35,"")</f>
        <v>0</v>
      </c>
      <c r="P35" s="20" t="s">
        <v>196</v>
      </c>
      <c r="R35" s="18">
        <f>iferror(lookup(if(Q35="",H35,Q35),{0,1,10},{0.0,3.9,3.85}),"")</f>
        <v>0</v>
      </c>
      <c r="S35" s="18">
        <f>iferror(if(Q35="",H35,Q35)*R35,"")</f>
        <v>0</v>
      </c>
      <c r="T35" s="19" t="s">
        <v>218</v>
      </c>
      <c r="U35" s="20" t="s">
        <v>196</v>
      </c>
      <c r="W35" s="18">
        <f>iferror(USD_GBP*lookup(if(V35="",H35,V35),{0,1,10,25,50},{0.0,3.86,3.11,2.93,2.87}),"")</f>
        <v>0</v>
      </c>
      <c r="X35" s="18">
        <f>iferror(if(V35="",H35,V35)*W35,"")</f>
        <v>0</v>
      </c>
      <c r="Y35" s="19" t="s">
        <v>246</v>
      </c>
      <c r="AE35" s="20" t="s">
        <v>196</v>
      </c>
      <c r="AG35" s="18">
        <f>iferror(lookup(if(AF35="",H35,AF35),{0,1,10,50,100,1000,10000},{0.0,3.93,3.54,3.34,2.9,2.8,2.79}),"")</f>
        <v>0</v>
      </c>
      <c r="AH35" s="18">
        <f>iferror(if(AF35="",H35,AF35)*AG35,"")</f>
        <v>0</v>
      </c>
      <c r="AI35" s="19" t="s">
        <v>283</v>
      </c>
      <c r="AJ35" s="20" t="s">
        <v>196</v>
      </c>
      <c r="AL35" s="18">
        <f>iferror(lookup(if(AK35="",H35,AK35),{0,1,10,2450},{0.0,4.07,4.03,4.03}),"")</f>
        <v>0</v>
      </c>
      <c r="AM35" s="18">
        <f>iferror(if(AK35="",H35,AK35)*AL35,"")</f>
        <v>0</v>
      </c>
      <c r="AN35" s="19" t="s">
        <v>310</v>
      </c>
    </row>
    <row r="36" spans="1:50">
      <c r="A36" s="17" t="s">
        <v>145</v>
      </c>
      <c r="B36" s="17" t="s">
        <v>146</v>
      </c>
      <c r="C36" s="17" t="s">
        <v>147</v>
      </c>
      <c r="E36" s="17" t="s">
        <v>148</v>
      </c>
      <c r="F36" s="17" t="s">
        <v>125</v>
      </c>
      <c r="G36" s="17" t="s">
        <v>149</v>
      </c>
      <c r="H36" s="17">
        <f>BoardQty*1</f>
        <v>0</v>
      </c>
      <c r="I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6" s="18">
        <f>iferror(H36*I36,"")</f>
        <v>0</v>
      </c>
      <c r="P36" s="20" t="s">
        <v>196</v>
      </c>
      <c r="R36" s="18">
        <f>iferror(lookup(if(Q36="",H36,Q36),{0,1,10,25,50,100,250,500,1000,4000,8000,12000,28000},{0.0,0.26,0.239,0.228,0.2208,0.2134,0.2024,0.16928,0.13138,0.12512,0.11776,0.1104,0.10304}),"")</f>
        <v>0</v>
      </c>
      <c r="S36" s="18">
        <f>iferror(if(Q36="",H36,Q36)*R36,"")</f>
        <v>0</v>
      </c>
      <c r="T36" s="19" t="s">
        <v>219</v>
      </c>
      <c r="U36" s="17">
        <v>110</v>
      </c>
      <c r="W36" s="18">
        <f>iferror(USD_GBP*lookup(if(V36="",H36,V36),{0,1,5,10,100,150,500},{0.0,0.531,0.531,0.424,0.258,0.258,0.144}),"")</f>
        <v>0</v>
      </c>
      <c r="X36" s="18">
        <f>iferror(if(V36="",H36,V36)*W36,"")</f>
        <v>0</v>
      </c>
      <c r="Y36" s="19" t="s">
        <v>247</v>
      </c>
      <c r="AE36" s="20" t="s">
        <v>196</v>
      </c>
      <c r="AG36" s="18">
        <f>iferror(lookup(if(AF36="",H36,AF36),{0,1,10,50,100,1000,10000},{0.0,0.45,0.367,0.367,0.25,0.141,0.117}),"")</f>
        <v>0</v>
      </c>
      <c r="AH36" s="18">
        <f>iferror(if(AF36="",H36,AF36)*AG36,"")</f>
        <v>0</v>
      </c>
      <c r="AI36" s="19" t="s">
        <v>284</v>
      </c>
      <c r="AJ36" s="20" t="s">
        <v>196</v>
      </c>
      <c r="AL36" s="18">
        <f>iferror(lookup(if(AK36="",H36,AK36),{0,1,10,100,3000,4000,6000,8000,12000,18000,30000},{0.0,0.156,0.258,0.232,0.149,0.131,0.133,0.133,0.121,0.113,0.105}),"")</f>
        <v>0</v>
      </c>
      <c r="AM36" s="18">
        <f>iferror(if(AK36="",H36,AK36)*AL36,"")</f>
        <v>0</v>
      </c>
      <c r="AN36" s="19" t="s">
        <v>311</v>
      </c>
      <c r="AO36" s="17">
        <v>2400</v>
      </c>
      <c r="AQ36" s="18">
        <f>iferror(USD_GBP*lookup(if(AP36="",H36,AP36),{0,1,50,100,1000,4000,8000,24000,48000,100000},{0.0,0.288,0.288,0.222,0.214,0.2,0.18,0.096,0.088,0.085}),"")</f>
        <v>0</v>
      </c>
      <c r="AR36" s="18">
        <f>iferror(if(AP36="",H36,AP36)*AQ36,"")</f>
        <v>0</v>
      </c>
      <c r="AS36" s="19" t="s">
        <v>325</v>
      </c>
      <c r="AT36" s="20" t="s">
        <v>196</v>
      </c>
      <c r="AV36" s="18">
        <f>iferror(USD_GBP*lookup(if(AU36="",H36,AU36),{0,1,5,25,100,500,2000},{0.0,0.174,0.174,0.1512,0.131,0.11449,0.10686}),"")</f>
        <v>0</v>
      </c>
      <c r="AW36" s="18">
        <f>iferror(if(AU36="",H36,AU36)*AV36,"")</f>
        <v>0</v>
      </c>
      <c r="AX36" s="19" t="s">
        <v>149</v>
      </c>
    </row>
    <row r="37" spans="1:50">
      <c r="A37" s="17" t="s">
        <v>150</v>
      </c>
      <c r="B37" s="17" t="s">
        <v>151</v>
      </c>
      <c r="C37" s="17" t="s">
        <v>152</v>
      </c>
      <c r="E37" s="17" t="s">
        <v>153</v>
      </c>
      <c r="F37" s="17" t="s">
        <v>154</v>
      </c>
      <c r="G37" s="17" t="s">
        <v>151</v>
      </c>
      <c r="H37" s="17">
        <f>BoardQty*1</f>
        <v>0</v>
      </c>
      <c r="I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7" s="18">
        <f>iferror(H37*I37,"")</f>
        <v>0</v>
      </c>
      <c r="P37" s="17">
        <v>99406</v>
      </c>
      <c r="R37" s="18">
        <f>iferror(lookup(if(Q37="",H37,Q37),{0,1,25,100,3000},{0.0,0.66,0.56,0.54,0.54}),"")</f>
        <v>0</v>
      </c>
      <c r="S37" s="18">
        <f>iferror(if(Q37="",H37,Q37)*R37,"")</f>
        <v>0</v>
      </c>
      <c r="T37" s="19" t="s">
        <v>220</v>
      </c>
      <c r="U37" s="17">
        <v>4388</v>
      </c>
      <c r="W37" s="18">
        <f>iferror(USD_GBP*lookup(if(V37="",H37,V37),{0,1,25,100,150},{0.0,0.806,0.623,0.535,0.535}),"")</f>
        <v>0</v>
      </c>
      <c r="X37" s="18">
        <f>iferror(if(V37="",H37,V37)*W37,"")</f>
        <v>0</v>
      </c>
      <c r="Y37" s="19" t="s">
        <v>248</v>
      </c>
      <c r="AE37" s="17">
        <v>15130</v>
      </c>
      <c r="AG37" s="18">
        <f>iferror(lookup(if(AF37="",H37,AF37),{0,1,10,50,100,1000,10000},{0.0,0.66,0.66,0.56,0.522,0.522,0.522}),"")</f>
        <v>0</v>
      </c>
      <c r="AH37" s="18">
        <f>iferror(if(AF37="",H37,AF37)*AG37,"")</f>
        <v>0</v>
      </c>
      <c r="AI37" s="19" t="s">
        <v>285</v>
      </c>
      <c r="AJ37" s="17">
        <v>2970</v>
      </c>
      <c r="AL37" s="18">
        <f>iferror(lookup(if(AK37="",H37,AK37),{0,1,10,25,3000},{0.0,0.866,0.798,0.729,0.528}),"")</f>
        <v>0</v>
      </c>
      <c r="AM37" s="18">
        <f>iferror(if(AK37="",H37,AK37)*AL37,"")</f>
        <v>0</v>
      </c>
      <c r="AN37" s="19" t="s">
        <v>312</v>
      </c>
      <c r="AO37" s="17">
        <v>1660</v>
      </c>
      <c r="AQ37" s="18">
        <f>iferror(USD_GBP*lookup(if(AP37="",H37,AP37),{0,1,20,40,100,3000},{0.0,0.481,0.481,0.46,0.415,0.384}),"")</f>
        <v>0</v>
      </c>
      <c r="AR37" s="18">
        <f>iferror(if(AP37="",H37,AP37)*AQ37,"")</f>
        <v>0</v>
      </c>
      <c r="AS37" s="19" t="s">
        <v>326</v>
      </c>
      <c r="AT37" s="20" t="s">
        <v>196</v>
      </c>
      <c r="AV37" s="18">
        <f>iferror(USD_GBP*lookup(if(AU37="",H37,AU37),{0,1,10,25,100},{0.0,0.61,0.57,0.51,0.46}),"")</f>
        <v>0</v>
      </c>
      <c r="AW37" s="18">
        <f>iferror(if(AU37="",H37,AU37)*AV37,"")</f>
        <v>0</v>
      </c>
      <c r="AX37" s="19" t="s">
        <v>330</v>
      </c>
    </row>
    <row r="38" spans="1:50">
      <c r="A38" s="17" t="s">
        <v>155</v>
      </c>
      <c r="B38" s="17" t="s">
        <v>156</v>
      </c>
      <c r="C38" s="17" t="s">
        <v>157</v>
      </c>
      <c r="D38" s="17" t="s">
        <v>160</v>
      </c>
      <c r="E38" s="17" t="s">
        <v>158</v>
      </c>
      <c r="F38" s="17" t="s">
        <v>159</v>
      </c>
      <c r="G38" s="17" t="s">
        <v>156</v>
      </c>
      <c r="H38" s="17">
        <f>BoardQty*1</f>
        <v>0</v>
      </c>
      <c r="I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8" s="18">
        <f>iferror(H38*I38,"")</f>
        <v>0</v>
      </c>
    </row>
    <row r="39" spans="1:50">
      <c r="A39" s="17" t="s">
        <v>161</v>
      </c>
      <c r="B39" s="17" t="s">
        <v>162</v>
      </c>
      <c r="C39" s="17" t="s">
        <v>163</v>
      </c>
      <c r="D39" s="17" t="s">
        <v>166</v>
      </c>
      <c r="E39" s="17" t="s">
        <v>164</v>
      </c>
      <c r="F39" s="17" t="s">
        <v>165</v>
      </c>
      <c r="G39" s="17" t="s">
        <v>162</v>
      </c>
      <c r="H39" s="17">
        <f>BoardQty*1</f>
        <v>0</v>
      </c>
      <c r="I3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9" s="18">
        <f>iferror(H39*I39,"")</f>
        <v>0</v>
      </c>
      <c r="P39" s="17">
        <v>4790</v>
      </c>
      <c r="R39" s="18">
        <f>iferror(lookup(if(Q39="",H39,Q39),{0,1,10,25,50,100,250,500,1000,5000},{0.0,1.97,1.798,1.7496,1.7408,1.556,1.55152,1.5281,1.46322,1.36231}),"")</f>
        <v>0</v>
      </c>
      <c r="S39" s="18">
        <f>iferror(if(Q39="",H39,Q39)*R39,"")</f>
        <v>0</v>
      </c>
      <c r="T39" s="19" t="s">
        <v>221</v>
      </c>
    </row>
    <row r="40" spans="1:50">
      <c r="A40" s="17" t="s">
        <v>167</v>
      </c>
      <c r="B40" s="17" t="s">
        <v>168</v>
      </c>
      <c r="C40" s="17" t="s">
        <v>169</v>
      </c>
      <c r="D40" s="17" t="s">
        <v>172</v>
      </c>
      <c r="E40" s="17" t="s">
        <v>170</v>
      </c>
      <c r="F40" s="17" t="s">
        <v>171</v>
      </c>
      <c r="G40" s="17" t="s">
        <v>168</v>
      </c>
      <c r="H40" s="17">
        <f>BoardQty*1</f>
        <v>0</v>
      </c>
      <c r="I4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0" s="18">
        <f>iferror(H40*I40,"")</f>
        <v>0</v>
      </c>
      <c r="P40" s="17">
        <v>1244</v>
      </c>
      <c r="R40" s="18">
        <f>iferror(lookup(if(Q40="",H40,Q40),{0,1,10,50,100,500,1000,3000},{0.0,1.62,1.548,1.512,1.296,1.26,1.062,1.008}),"")</f>
        <v>0</v>
      </c>
      <c r="S40" s="18">
        <f>iferror(if(Q40="",H40,Q40)*R40,"")</f>
        <v>0</v>
      </c>
      <c r="T40" s="19" t="s">
        <v>222</v>
      </c>
      <c r="U40" s="17">
        <v>2835</v>
      </c>
      <c r="W40" s="18">
        <f>iferror(USD_GBP*lookup(if(V40="",H40,V40),{0,1,5,10,50,250,500,1500},{0.0,1.28,1.28,1.28,1.07,0.968,0.945,0.922}),"")</f>
        <v>0</v>
      </c>
      <c r="X40" s="18">
        <f>iferror(if(V40="",H40,V40)*W40,"")</f>
        <v>0</v>
      </c>
      <c r="Y40" s="19" t="s">
        <v>249</v>
      </c>
      <c r="AE40" s="17">
        <v>8090</v>
      </c>
      <c r="AG40" s="18">
        <f>iferror(lookup(if(AF40="",H40,AF40),{0,1,10,50,100,1000,10000},{0.0,1.8,1.72,1.68,1.44,1.15,1.08}),"")</f>
        <v>0</v>
      </c>
      <c r="AH40" s="18">
        <f>iferror(if(AF40="",H40,AF40)*AG40,"")</f>
        <v>0</v>
      </c>
      <c r="AI40" s="19" t="s">
        <v>286</v>
      </c>
      <c r="AJ40" s="17">
        <v>2945</v>
      </c>
      <c r="AL40" s="18">
        <f>iferror(lookup(if(AK40="",H40,AK40),{0,1,5,10,25,50,100,1000,2000,3000,4000,6000,10000},{0.0,2.48,2.48,2.36,2.34,2.31,1.98,1.34,1.28,1.28,1.17,1.12,1.09}),"")</f>
        <v>0</v>
      </c>
      <c r="AM40" s="18">
        <f>iferror(if(AK40="",H40,AK40)*AL40,"")</f>
        <v>0</v>
      </c>
      <c r="AN40" s="19" t="s">
        <v>313</v>
      </c>
    </row>
    <row r="42" spans="1:50">
      <c r="B42" s="21" t="s">
        <v>175</v>
      </c>
      <c r="I42" s="1" t="s">
        <v>173</v>
      </c>
      <c r="J42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42" s="19" t="s">
        <v>192</v>
      </c>
      <c r="L42" s="6">
        <f>IFERROR(IF(OR(L7:L40),COUNTIFS(L7:L40,"&gt;0",N7:N40,"&lt;&gt;")&amp;" of "&amp;(ROWS(N7:N40)-COUNTBLANK(N7:N40))&amp;" parts purchased",""),"")</f>
        <v>0</v>
      </c>
      <c r="N42" s="5">
        <f>SUMIF(L7:L40,"&gt;0",N7:N40)</f>
        <v>0</v>
      </c>
      <c r="P42" s="19" t="s">
        <v>192</v>
      </c>
      <c r="Q42" s="6">
        <f>IFERROR(IF(OR(Q7:Q40),COUNTIFS(Q7:Q40,"&gt;0",S7:S40,"&lt;&gt;")&amp;" of "&amp;(ROWS(S7:S40)-COUNTBLANK(S7:S40))&amp;" parts purchased",""),"")</f>
        <v>0</v>
      </c>
      <c r="S42" s="5">
        <f>SUMIF(Q7:Q40,"&gt;0",S7:S40)</f>
        <v>0</v>
      </c>
      <c r="U42" s="19" t="s">
        <v>192</v>
      </c>
      <c r="V42" s="6">
        <f>IFERROR(IF(OR(V7:V40),COUNTIFS(V7:V40,"&gt;0",X7:X40,"&lt;&gt;")&amp;" of "&amp;(ROWS(X7:X40)-COUNTBLANK(X7:X40))&amp;" parts purchased",""),"")</f>
        <v>0</v>
      </c>
      <c r="X42" s="5">
        <f>SUMIF(V7:V40,"&gt;0",X7:X40)</f>
        <v>0</v>
      </c>
      <c r="Z42" s="19" t="s">
        <v>192</v>
      </c>
      <c r="AA42" s="6">
        <f>IFERROR(IF(OR(AA7:AA40),COUNTIFS(AA7:AA40,"&gt;0",AC7:AC40,"&lt;&gt;")&amp;" of "&amp;(ROWS(AC7:AC40)-COUNTBLANK(AC7:AC40))&amp;" parts purchased",""),"")</f>
        <v>0</v>
      </c>
      <c r="AC42" s="5">
        <f>SUMIF(AA7:AA40,"&gt;0",AC7:AC40)</f>
        <v>0</v>
      </c>
      <c r="AE42" s="19" t="s">
        <v>192</v>
      </c>
      <c r="AF42" s="6">
        <f>IFERROR(IF(OR(AF7:AF40),COUNTIFS(AF7:AF40,"&gt;0",AH7:AH40,"&lt;&gt;")&amp;" of "&amp;(ROWS(AH7:AH40)-COUNTBLANK(AH7:AH40))&amp;" parts purchased",""),"")</f>
        <v>0</v>
      </c>
      <c r="AH42" s="5">
        <f>SUMIF(AF7:AF40,"&gt;0",AH7:AH40)</f>
        <v>0</v>
      </c>
      <c r="AJ42" s="19" t="s">
        <v>192</v>
      </c>
      <c r="AK42" s="6">
        <f>IFERROR(IF(OR(AK7:AK40),COUNTIFS(AK7:AK40,"&gt;0",AM7:AM40,"&lt;&gt;")&amp;" of "&amp;(ROWS(AM7:AM40)-COUNTBLANK(AM7:AM40))&amp;" parts purchased",""),"")</f>
        <v>0</v>
      </c>
      <c r="AM42" s="5">
        <f>SUMIF(AK7:AK40,"&gt;0",AM7:AM40)</f>
        <v>0</v>
      </c>
      <c r="AO42" s="19" t="s">
        <v>192</v>
      </c>
      <c r="AP42" s="6">
        <f>IFERROR(IF(OR(AP7:AP40),COUNTIFS(AP7:AP40,"&gt;0",AR7:AR40,"&lt;&gt;")&amp;" of "&amp;(ROWS(AR7:AR40)-COUNTBLANK(AR7:AR40))&amp;" parts purchased",""),"")</f>
        <v>0</v>
      </c>
      <c r="AR42" s="5">
        <f>SUMIF(AP7:AP40,"&gt;0",AR7:AR40)</f>
        <v>0</v>
      </c>
      <c r="AT42" s="19" t="s">
        <v>192</v>
      </c>
      <c r="AU42" s="6">
        <f>IFERROR(IF(OR(AU7:AU40),COUNTIFS(AU7:AU40,"&gt;0",AW7:AW40,"&lt;&gt;")&amp;" of "&amp;(ROWS(AW7:AW40)-COUNTBLANK(AW7:AW40))&amp;" parts purchased",""),"")</f>
        <v>0</v>
      </c>
      <c r="AW42" s="5">
        <f>SUMIF(AU7:AU40,"&gt;0",AW7:AW40)</f>
        <v>0</v>
      </c>
    </row>
    <row r="43" spans="1:50">
      <c r="B43" s="21" t="s">
        <v>176</v>
      </c>
      <c r="C43">
        <v>1.293904700565222</v>
      </c>
      <c r="I43" s="21" t="s">
        <v>174</v>
      </c>
      <c r="L43">
        <f t="array" ref="L43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43">
        <f t="array" ref="Q43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43">
        <f t="array" ref="V43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43" s="6">
        <f>IFERROR(IF(COUNTIFS(AA7:AA40,"&gt;0",AC7:AC40,"&lt;&gt;")&gt;0,"Quantity,Comment,Designator,Footprint,LCSC Part #(optional)",""),"")</f>
        <v>0</v>
      </c>
      <c r="AF43">
        <f t="array" ref="AF43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43">
        <f t="array" ref="AK43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43">
        <f t="array" ref="AP43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43">
        <f t="array" ref="AU43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44" spans="1:50">
      <c r="L44">
        <f t="array" ref="L44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44">
        <f t="array" ref="Q44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44">
        <f t="array" ref="V44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44">
        <f t="array" ref="AA44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44">
        <f t="array" ref="AF44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44">
        <f t="array" ref="AK44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44">
        <f t="array" ref="AP44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44">
        <f t="array" ref="AU44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45" spans="1:50">
      <c r="A45" s="2" t="s">
        <v>331</v>
      </c>
      <c r="L45">
        <f t="array" ref="L45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45">
        <f t="array" ref="Q45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45">
        <f t="array" ref="V45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45">
        <f t="array" ref="AA45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45">
        <f t="array" ref="AF45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45">
        <f t="array" ref="AK45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45">
        <f t="array" ref="AP45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45">
        <f t="array" ref="AU45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46" spans="1:50">
      <c r="L46">
        <f t="array" ref="L46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46">
        <f t="array" ref="Q46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46">
        <f t="array" ref="V46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46">
        <f t="array" ref="AA46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46">
        <f t="array" ref="AF46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46">
        <f t="array" ref="AK46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46">
        <f t="array" ref="AP46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46">
        <f t="array" ref="AU46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47" spans="1:50">
      <c r="L47">
        <f t="array" ref="L47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47">
        <f t="array" ref="Q47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47">
        <f t="array" ref="V47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47">
        <f t="array" ref="AA47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47">
        <f t="array" ref="AF47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47">
        <f t="array" ref="AK47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47">
        <f t="array" ref="AP47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47">
        <f t="array" ref="AU47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48" spans="1:50">
      <c r="L48">
        <f t="array" ref="L48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48">
        <f t="array" ref="Q48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48">
        <f t="array" ref="V48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48">
        <f t="array" ref="AA48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48">
        <f t="array" ref="AF48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48">
        <f t="array" ref="AK48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48">
        <f t="array" ref="AP48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48">
        <f t="array" ref="AU48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49" spans="12:47">
      <c r="L49">
        <f t="array" ref="L49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49">
        <f t="array" ref="Q49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49">
        <f t="array" ref="V49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49">
        <f t="array" ref="AA49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49">
        <f t="array" ref="AF49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49">
        <f t="array" ref="AK49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49">
        <f t="array" ref="AP49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49">
        <f t="array" ref="AU49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0" spans="12:47">
      <c r="L50">
        <f t="array" ref="L50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0">
        <f t="array" ref="Q50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0">
        <f t="array" ref="V50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0">
        <f t="array" ref="AA50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0">
        <f t="array" ref="AF50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0">
        <f t="array" ref="AK50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0">
        <f t="array" ref="AP50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0">
        <f t="array" ref="AU50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1" spans="12:47">
      <c r="L51">
        <f t="array" ref="L51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1">
        <f t="array" ref="Q51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1">
        <f t="array" ref="V51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1">
        <f t="array" ref="AA51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1">
        <f t="array" ref="AF51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1">
        <f t="array" ref="AK51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1">
        <f t="array" ref="AP51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1">
        <f t="array" ref="AU51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2" spans="12:47">
      <c r="L52">
        <f t="array" ref="L52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2">
        <f t="array" ref="Q52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2">
        <f t="array" ref="V52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2">
        <f t="array" ref="AA52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2">
        <f t="array" ref="AF52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2">
        <f t="array" ref="AK52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2">
        <f t="array" ref="AP52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2">
        <f t="array" ref="AU52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3" spans="12:47">
      <c r="L53">
        <f t="array" ref="L53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3">
        <f t="array" ref="Q53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3">
        <f t="array" ref="V53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3">
        <f t="array" ref="AA53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3">
        <f t="array" ref="AF53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3">
        <f t="array" ref="AK53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3">
        <f t="array" ref="AP53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3">
        <f t="array" ref="AU53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4" spans="12:47">
      <c r="L54">
        <f t="array" ref="L54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4">
        <f t="array" ref="Q54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4">
        <f t="array" ref="V54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4">
        <f t="array" ref="AA54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4">
        <f t="array" ref="AF54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4">
        <f t="array" ref="AK54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4">
        <f t="array" ref="AP54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4">
        <f t="array" ref="AU54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5" spans="12:47">
      <c r="L55">
        <f t="array" ref="L55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5">
        <f t="array" ref="Q55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5">
        <f t="array" ref="V55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5">
        <f t="array" ref="AA55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5">
        <f t="array" ref="AF55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5">
        <f t="array" ref="AK55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5">
        <f t="array" ref="AP55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5">
        <f t="array" ref="AU55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6" spans="12:47">
      <c r="L56">
        <f t="array" ref="L56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6">
        <f t="array" ref="Q56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6">
        <f t="array" ref="V56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6">
        <f t="array" ref="AA56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6">
        <f t="array" ref="AF56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6">
        <f t="array" ref="AK56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6">
        <f t="array" ref="AP56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6">
        <f t="array" ref="AU56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7" spans="12:47">
      <c r="L57">
        <f t="array" ref="L57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7">
        <f t="array" ref="Q57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7">
        <f t="array" ref="V57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7">
        <f t="array" ref="AA57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7">
        <f t="array" ref="AF57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7">
        <f t="array" ref="AK57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7">
        <f t="array" ref="AP57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7">
        <f t="array" ref="AU57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8" spans="12:47">
      <c r="L58">
        <f t="array" ref="L58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8">
        <f t="array" ref="Q58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8">
        <f t="array" ref="V58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8">
        <f t="array" ref="AA58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8">
        <f t="array" ref="AF58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8">
        <f t="array" ref="AK58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8">
        <f t="array" ref="AP58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8">
        <f t="array" ref="AU58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9" spans="12:47">
      <c r="L59">
        <f t="array" ref="L59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9">
        <f t="array" ref="Q59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9">
        <f t="array" ref="V59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9">
        <f t="array" ref="AA59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9">
        <f t="array" ref="AF59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9">
        <f t="array" ref="AK59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9">
        <f t="array" ref="AP59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9">
        <f t="array" ref="AU59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0" spans="12:47">
      <c r="L60">
        <f t="array" ref="L60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0">
        <f t="array" ref="Q60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0">
        <f t="array" ref="V60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0">
        <f t="array" ref="AA60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0">
        <f t="array" ref="AF60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0">
        <f t="array" ref="AK60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0">
        <f t="array" ref="AP60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0">
        <f t="array" ref="AU60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1" spans="12:47">
      <c r="L61">
        <f t="array" ref="L61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1">
        <f t="array" ref="Q61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1">
        <f t="array" ref="V61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1">
        <f t="array" ref="AA61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1">
        <f t="array" ref="AF61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1">
        <f t="array" ref="AK61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1">
        <f t="array" ref="AP61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1">
        <f t="array" ref="AU61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2" spans="12:47">
      <c r="L62">
        <f t="array" ref="L62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2">
        <f t="array" ref="Q62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2">
        <f t="array" ref="V62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2">
        <f t="array" ref="AA62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2">
        <f t="array" ref="AF62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2">
        <f t="array" ref="AK62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2">
        <f t="array" ref="AP62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2">
        <f t="array" ref="AU62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3" spans="12:47">
      <c r="L63">
        <f t="array" ref="L63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3">
        <f t="array" ref="Q63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3">
        <f t="array" ref="V63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3">
        <f t="array" ref="AA63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3">
        <f t="array" ref="AF63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3">
        <f t="array" ref="AK63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3">
        <f t="array" ref="AP63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3">
        <f t="array" ref="AU63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4" spans="12:47">
      <c r="L64">
        <f t="array" ref="L64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4">
        <f t="array" ref="Q64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4">
        <f t="array" ref="V64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4">
        <f t="array" ref="AA64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4">
        <f t="array" ref="AF64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4">
        <f t="array" ref="AK64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4">
        <f t="array" ref="AP64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4">
        <f t="array" ref="AU64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5" spans="12:47">
      <c r="L65">
        <f t="array" ref="L65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5">
        <f t="array" ref="Q65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5">
        <f t="array" ref="V65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5">
        <f t="array" ref="AA65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5">
        <f t="array" ref="AF65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5">
        <f t="array" ref="AK65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5">
        <f t="array" ref="AP65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5">
        <f t="array" ref="AU65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6" spans="12:47">
      <c r="L66">
        <f t="array" ref="L66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6">
        <f t="array" ref="Q66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6">
        <f t="array" ref="V66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6">
        <f t="array" ref="AA66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6">
        <f t="array" ref="AF66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6">
        <f t="array" ref="AK66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6">
        <f t="array" ref="AP66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6">
        <f t="array" ref="AU66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7" spans="12:47">
      <c r="L67">
        <f t="array" ref="L67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7">
        <f t="array" ref="Q67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7">
        <f t="array" ref="V67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7">
        <f t="array" ref="AA67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7">
        <f t="array" ref="AF67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7">
        <f t="array" ref="AK67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7">
        <f t="array" ref="AP67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7">
        <f t="array" ref="AU67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8" spans="12:47">
      <c r="L68">
        <f t="array" ref="L68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8">
        <f t="array" ref="Q68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8">
        <f t="array" ref="V68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8">
        <f t="array" ref="AA68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8">
        <f t="array" ref="AF68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8">
        <f t="array" ref="AK68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8">
        <f t="array" ref="AP68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8">
        <f t="array" ref="AU68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9" spans="12:47">
      <c r="L69">
        <f t="array" ref="L69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9">
        <f t="array" ref="Q69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9">
        <f t="array" ref="V69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9">
        <f t="array" ref="AA69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9">
        <f t="array" ref="AF69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9">
        <f t="array" ref="AK69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9">
        <f t="array" ref="AP69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9">
        <f t="array" ref="AU69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70" spans="12:47">
      <c r="L70">
        <f t="array" ref="L70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70">
        <f t="array" ref="Q70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70">
        <f t="array" ref="V70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70">
        <f t="array" ref="AA70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70">
        <f t="array" ref="AF70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70">
        <f t="array" ref="AK70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70">
        <f t="array" ref="AP70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70">
        <f t="array" ref="AU70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71" spans="12:47">
      <c r="L71">
        <f t="array" ref="L71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71">
        <f t="array" ref="Q71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71">
        <f t="array" ref="V71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71">
        <f t="array" ref="AA71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71">
        <f t="array" ref="AF71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71">
        <f t="array" ref="AK71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71">
        <f t="array" ref="AP71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71">
        <f t="array" ref="AU71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72" spans="12:47">
      <c r="L72">
        <f t="array" ref="L72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72">
        <f t="array" ref="Q72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72">
        <f t="array" ref="V72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72">
        <f t="array" ref="AA72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72">
        <f t="array" ref="AF72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72">
        <f t="array" ref="AK72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72">
        <f t="array" ref="AP72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72">
        <f t="array" ref="AU72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73" spans="12:47">
      <c r="L73">
        <f t="array" ref="L73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73">
        <f t="array" ref="Q73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73">
        <f t="array" ref="V73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73">
        <f t="array" ref="AA73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73">
        <f t="array" ref="AF73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73">
        <f t="array" ref="AK73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73">
        <f t="array" ref="AP73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73">
        <f t="array" ref="AU73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74" spans="12:47">
      <c r="L74">
        <f t="array" ref="L74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74">
        <f t="array" ref="Q74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74">
        <f t="array" ref="V74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74">
        <f t="array" ref="AA74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74">
        <f t="array" ref="AF74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74">
        <f t="array" ref="AK74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74">
        <f t="array" ref="AP74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74">
        <f t="array" ref="AU74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75" spans="12:47">
      <c r="L75">
        <f t="array" ref="L75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75">
        <f t="array" ref="Q75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75">
        <f t="array" ref="V75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75">
        <f t="array" ref="AA75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75">
        <f t="array" ref="AF75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75">
        <f t="array" ref="AK75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75">
        <f t="array" ref="AP75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75">
        <f t="array" ref="AU75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76" spans="12:47">
      <c r="L76">
        <f t="array" ref="L76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76">
        <f t="array" ref="Q76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76">
        <f t="array" ref="V76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76">
        <f t="array" ref="AA76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76">
        <f t="array" ref="AF76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76">
        <f t="array" ref="AK76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76">
        <f t="array" ref="AP76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76">
        <f t="array" ref="AU76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77" spans="12:47">
      <c r="AA77">
        <f t="array" ref="AA77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</row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1">
    <cfRule type="expression" dxfId="3" priority="438">
      <formula>AND(AA11&gt;0,AA11&lt;5)</formula>
    </cfRule>
    <cfRule type="cellIs" dxfId="1" priority="439" operator="greaterThan">
      <formula>Z11</formula>
    </cfRule>
  </conditionalFormatting>
  <conditionalFormatting sqref="AA12">
    <cfRule type="expression" dxfId="3" priority="444">
      <formula>AND(AA12&gt;0,AA12&lt;100)</formula>
    </cfRule>
    <cfRule type="cellIs" dxfId="1" priority="445" operator="greaterThan">
      <formula>Z12</formula>
    </cfRule>
  </conditionalFormatting>
  <conditionalFormatting sqref="AA20">
    <cfRule type="cellIs" dxfId="1" priority="450" operator="greaterThan">
      <formula>Z20</formula>
    </cfRule>
  </conditionalFormatting>
  <conditionalFormatting sqref="AA22">
    <cfRule type="expression" dxfId="3" priority="455">
      <formula>AND(AA22&gt;0,AA22&lt;50)</formula>
    </cfRule>
    <cfRule type="cellIs" dxfId="1" priority="456" operator="greaterThan">
      <formula>Z22</formula>
    </cfRule>
  </conditionalFormatting>
  <conditionalFormatting sqref="AA27">
    <cfRule type="expression" dxfId="3" priority="461">
      <formula>AND(AA27&gt;0,AA27&lt;50)</formula>
    </cfRule>
    <cfRule type="cellIs" dxfId="1" priority="462" operator="greaterThan">
      <formula>Z27</formula>
    </cfRule>
  </conditionalFormatting>
  <conditionalFormatting sqref="AA29">
    <cfRule type="expression" dxfId="3" priority="467">
      <formula>AND(AA29&gt;0,AA29&lt;50)</formula>
    </cfRule>
    <cfRule type="cellIs" dxfId="1" priority="468" operator="greaterThan">
      <formula>Z29</formula>
    </cfRule>
  </conditionalFormatting>
  <conditionalFormatting sqref="AA34">
    <cfRule type="cellIs" dxfId="1" priority="473" operator="greaterThan">
      <formula>Z34</formula>
    </cfRule>
  </conditionalFormatting>
  <conditionalFormatting sqref="AA8">
    <cfRule type="expression" dxfId="3" priority="432">
      <formula>AND(AA8&gt;0,AA8&lt;5)</formula>
    </cfRule>
    <cfRule type="cellIs" dxfId="1" priority="433" operator="greaterThan">
      <formula>Z8</formula>
    </cfRule>
  </conditionalFormatting>
  <conditionalFormatting sqref="AB11">
    <cfRule type="cellIs" dxfId="4" priority="441" operator="lessThanOrEqual">
      <formula>I11</formula>
    </cfRule>
  </conditionalFormatting>
  <conditionalFormatting sqref="AB12">
    <cfRule type="cellIs" dxfId="4" priority="447" operator="lessThanOrEqual">
      <formula>I12</formula>
    </cfRule>
  </conditionalFormatting>
  <conditionalFormatting sqref="AB20">
    <cfRule type="cellIs" dxfId="4" priority="452" operator="lessThanOrEqual">
      <formula>I20</formula>
    </cfRule>
  </conditionalFormatting>
  <conditionalFormatting sqref="AB22">
    <cfRule type="cellIs" dxfId="4" priority="458" operator="lessThanOrEqual">
      <formula>I22</formula>
    </cfRule>
  </conditionalFormatting>
  <conditionalFormatting sqref="AB27">
    <cfRule type="cellIs" dxfId="4" priority="464" operator="lessThanOrEqual">
      <formula>I27</formula>
    </cfRule>
  </conditionalFormatting>
  <conditionalFormatting sqref="AB29">
    <cfRule type="cellIs" dxfId="4" priority="470" operator="lessThanOrEqual">
      <formula>I29</formula>
    </cfRule>
  </conditionalFormatting>
  <conditionalFormatting sqref="AB34">
    <cfRule type="cellIs" dxfId="4" priority="475" operator="lessThanOrEqual">
      <formula>I34</formula>
    </cfRule>
  </conditionalFormatting>
  <conditionalFormatting sqref="AB8">
    <cfRule type="cellIs" dxfId="4" priority="435" operator="lessThanOrEqual">
      <formula>I8</formula>
    </cfRule>
  </conditionalFormatting>
  <conditionalFormatting sqref="AC11">
    <cfRule type="cellIs" dxfId="4" priority="440" operator="lessThanOrEqual">
      <formula>J11</formula>
    </cfRule>
  </conditionalFormatting>
  <conditionalFormatting sqref="AC12">
    <cfRule type="cellIs" dxfId="4" priority="446" operator="lessThanOrEqual">
      <formula>J12</formula>
    </cfRule>
  </conditionalFormatting>
  <conditionalFormatting sqref="AC20">
    <cfRule type="cellIs" dxfId="4" priority="451" operator="lessThanOrEqual">
      <formula>J20</formula>
    </cfRule>
  </conditionalFormatting>
  <conditionalFormatting sqref="AC22">
    <cfRule type="cellIs" dxfId="4" priority="457" operator="lessThanOrEqual">
      <formula>J22</formula>
    </cfRule>
  </conditionalFormatting>
  <conditionalFormatting sqref="AC27">
    <cfRule type="cellIs" dxfId="4" priority="463" operator="lessThanOrEqual">
      <formula>J27</formula>
    </cfRule>
  </conditionalFormatting>
  <conditionalFormatting sqref="AC29">
    <cfRule type="cellIs" dxfId="4" priority="469" operator="lessThanOrEqual">
      <formula>J29</formula>
    </cfRule>
  </conditionalFormatting>
  <conditionalFormatting sqref="AC34">
    <cfRule type="cellIs" dxfId="4" priority="474" operator="lessThanOrEqual">
      <formula>J34</formula>
    </cfRule>
  </conditionalFormatting>
  <conditionalFormatting sqref="AC8">
    <cfRule type="cellIs" dxfId="4" priority="434" operator="lessThanOrEqual">
      <formula>J8</formula>
    </cfRule>
  </conditionalFormatting>
  <conditionalFormatting sqref="AE10">
    <cfRule type="cellIs" dxfId="1" priority="491" operator="equal">
      <formula>0</formula>
    </cfRule>
    <cfRule type="cellIs" dxfId="2" priority="492" operator="lessThan">
      <formula>H10</formula>
    </cfRule>
  </conditionalFormatting>
  <conditionalFormatting sqref="AE11">
    <cfRule type="cellIs" dxfId="1" priority="496" operator="equal">
      <formula>0</formula>
    </cfRule>
    <cfRule type="cellIs" dxfId="2" priority="497" operator="lessThan">
      <formula>H11</formula>
    </cfRule>
  </conditionalFormatting>
  <conditionalFormatting sqref="AE12">
    <cfRule type="cellIs" dxfId="1" priority="501" operator="equal">
      <formula>0</formula>
    </cfRule>
    <cfRule type="cellIs" dxfId="2" priority="502" operator="lessThan">
      <formula>H12</formula>
    </cfRule>
  </conditionalFormatting>
  <conditionalFormatting sqref="AE13">
    <cfRule type="cellIs" dxfId="1" priority="506" operator="equal">
      <formula>0</formula>
    </cfRule>
    <cfRule type="cellIs" dxfId="2" priority="507" operator="lessThan">
      <formula>H13</formula>
    </cfRule>
  </conditionalFormatting>
  <conditionalFormatting sqref="AE14">
    <cfRule type="cellIs" dxfId="1" priority="511" operator="equal">
      <formula>0</formula>
    </cfRule>
    <cfRule type="cellIs" dxfId="2" priority="512" operator="lessThan">
      <formula>H14</formula>
    </cfRule>
  </conditionalFormatting>
  <conditionalFormatting sqref="AE15">
    <cfRule type="cellIs" dxfId="1" priority="516" operator="equal">
      <formula>0</formula>
    </cfRule>
    <cfRule type="cellIs" dxfId="2" priority="517" operator="lessThan">
      <formula>H15</formula>
    </cfRule>
  </conditionalFormatting>
  <conditionalFormatting sqref="AE21">
    <cfRule type="cellIs" dxfId="1" priority="521" operator="equal">
      <formula>0</formula>
    </cfRule>
    <cfRule type="cellIs" dxfId="2" priority="522" operator="lessThan">
      <formula>H21</formula>
    </cfRule>
  </conditionalFormatting>
  <conditionalFormatting sqref="AE22">
    <cfRule type="cellIs" dxfId="1" priority="526" operator="equal">
      <formula>0</formula>
    </cfRule>
    <cfRule type="cellIs" dxfId="2" priority="527" operator="lessThan">
      <formula>H22</formula>
    </cfRule>
  </conditionalFormatting>
  <conditionalFormatting sqref="AE23">
    <cfRule type="cellIs" dxfId="1" priority="531" operator="equal">
      <formula>0</formula>
    </cfRule>
    <cfRule type="cellIs" dxfId="2" priority="532" operator="lessThan">
      <formula>H23</formula>
    </cfRule>
  </conditionalFormatting>
  <conditionalFormatting sqref="AE24">
    <cfRule type="cellIs" dxfId="1" priority="536" operator="equal">
      <formula>0</formula>
    </cfRule>
    <cfRule type="cellIs" dxfId="2" priority="537" operator="lessThan">
      <formula>H24</formula>
    </cfRule>
  </conditionalFormatting>
  <conditionalFormatting sqref="AE25">
    <cfRule type="cellIs" dxfId="1" priority="541" operator="equal">
      <formula>0</formula>
    </cfRule>
    <cfRule type="cellIs" dxfId="2" priority="542" operator="lessThan">
      <formula>H25</formula>
    </cfRule>
  </conditionalFormatting>
  <conditionalFormatting sqref="AE26">
    <cfRule type="cellIs" dxfId="1" priority="546" operator="equal">
      <formula>0</formula>
    </cfRule>
    <cfRule type="cellIs" dxfId="2" priority="547" operator="lessThan">
      <formula>H26</formula>
    </cfRule>
  </conditionalFormatting>
  <conditionalFormatting sqref="AE27">
    <cfRule type="cellIs" dxfId="1" priority="551" operator="equal">
      <formula>0</formula>
    </cfRule>
    <cfRule type="cellIs" dxfId="2" priority="552" operator="lessThan">
      <formula>H27</formula>
    </cfRule>
  </conditionalFormatting>
  <conditionalFormatting sqref="AE28">
    <cfRule type="cellIs" dxfId="1" priority="556" operator="equal">
      <formula>0</formula>
    </cfRule>
    <cfRule type="cellIs" dxfId="2" priority="557" operator="lessThan">
      <formula>H28</formula>
    </cfRule>
  </conditionalFormatting>
  <conditionalFormatting sqref="AE29">
    <cfRule type="cellIs" dxfId="1" priority="561" operator="equal">
      <formula>0</formula>
    </cfRule>
    <cfRule type="cellIs" dxfId="2" priority="562" operator="lessThan">
      <formula>H29</formula>
    </cfRule>
  </conditionalFormatting>
  <conditionalFormatting sqref="AE30">
    <cfRule type="cellIs" dxfId="1" priority="566" operator="equal">
      <formula>0</formula>
    </cfRule>
    <cfRule type="cellIs" dxfId="2" priority="567" operator="lessThan">
      <formula>H30</formula>
    </cfRule>
  </conditionalFormatting>
  <conditionalFormatting sqref="AE31">
    <cfRule type="cellIs" dxfId="1" priority="571" operator="equal">
      <formula>0</formula>
    </cfRule>
    <cfRule type="cellIs" dxfId="2" priority="572" operator="lessThan">
      <formula>H31</formula>
    </cfRule>
  </conditionalFormatting>
  <conditionalFormatting sqref="AE32">
    <cfRule type="cellIs" dxfId="1" priority="576" operator="equal">
      <formula>0</formula>
    </cfRule>
    <cfRule type="cellIs" dxfId="2" priority="577" operator="lessThan">
      <formula>H32</formula>
    </cfRule>
  </conditionalFormatting>
  <conditionalFormatting sqref="AE33">
    <cfRule type="cellIs" dxfId="1" priority="581" operator="equal">
      <formula>0</formula>
    </cfRule>
    <cfRule type="cellIs" dxfId="2" priority="582" operator="lessThan">
      <formula>H33</formula>
    </cfRule>
  </conditionalFormatting>
  <conditionalFormatting sqref="AE34">
    <cfRule type="cellIs" dxfId="1" priority="586" operator="equal">
      <formula>0</formula>
    </cfRule>
    <cfRule type="cellIs" dxfId="2" priority="587" operator="lessThan">
      <formula>H34</formula>
    </cfRule>
  </conditionalFormatting>
  <conditionalFormatting sqref="AE35">
    <cfRule type="cellIs" dxfId="1" priority="591" operator="equal">
      <formula>0</formula>
    </cfRule>
    <cfRule type="cellIs" dxfId="2" priority="592" operator="lessThan">
      <formula>H35</formula>
    </cfRule>
  </conditionalFormatting>
  <conditionalFormatting sqref="AE36">
    <cfRule type="cellIs" dxfId="1" priority="596" operator="equal">
      <formula>0</formula>
    </cfRule>
    <cfRule type="cellIs" dxfId="2" priority="597" operator="lessThan">
      <formula>H36</formula>
    </cfRule>
  </conditionalFormatting>
  <conditionalFormatting sqref="AE37">
    <cfRule type="cellIs" dxfId="1" priority="601" operator="equal">
      <formula>0</formula>
    </cfRule>
    <cfRule type="cellIs" dxfId="2" priority="602" operator="lessThan">
      <formula>H37</formula>
    </cfRule>
  </conditionalFormatting>
  <conditionalFormatting sqref="AE40">
    <cfRule type="cellIs" dxfId="1" priority="606" operator="equal">
      <formula>0</formula>
    </cfRule>
    <cfRule type="cellIs" dxfId="2" priority="607" operator="lessThan">
      <formula>H40</formula>
    </cfRule>
  </conditionalFormatting>
  <conditionalFormatting sqref="AE7">
    <cfRule type="cellIs" dxfId="1" priority="476" operator="equal">
      <formula>0</formula>
    </cfRule>
    <cfRule type="cellIs" dxfId="2" priority="477" operator="lessThan">
      <formula>H7</formula>
    </cfRule>
  </conditionalFormatting>
  <conditionalFormatting sqref="AE8">
    <cfRule type="cellIs" dxfId="1" priority="481" operator="equal">
      <formula>0</formula>
    </cfRule>
    <cfRule type="cellIs" dxfId="2" priority="482" operator="lessThan">
      <formula>H8</formula>
    </cfRule>
  </conditionalFormatting>
  <conditionalFormatting sqref="AE9">
    <cfRule type="cellIs" dxfId="1" priority="486" operator="equal">
      <formula>0</formula>
    </cfRule>
    <cfRule type="cellIs" dxfId="2" priority="487" operator="lessThan">
      <formula>H9</formula>
    </cfRule>
  </conditionalFormatting>
  <conditionalFormatting sqref="AF10">
    <cfRule type="cellIs" dxfId="1" priority="493" operator="greaterThan">
      <formula>AE10</formula>
    </cfRule>
  </conditionalFormatting>
  <conditionalFormatting sqref="AF11">
    <cfRule type="cellIs" dxfId="1" priority="498" operator="greaterThan">
      <formula>AE11</formula>
    </cfRule>
  </conditionalFormatting>
  <conditionalFormatting sqref="AF12">
    <cfRule type="cellIs" dxfId="1" priority="503" operator="greaterThan">
      <formula>AE12</formula>
    </cfRule>
  </conditionalFormatting>
  <conditionalFormatting sqref="AF13">
    <cfRule type="cellIs" dxfId="1" priority="508" operator="greaterThan">
      <formula>AE13</formula>
    </cfRule>
  </conditionalFormatting>
  <conditionalFormatting sqref="AF14">
    <cfRule type="cellIs" dxfId="1" priority="513" operator="greaterThan">
      <formula>AE14</formula>
    </cfRule>
  </conditionalFormatting>
  <conditionalFormatting sqref="AF15">
    <cfRule type="cellIs" dxfId="1" priority="518" operator="greaterThan">
      <formula>AE15</formula>
    </cfRule>
  </conditionalFormatting>
  <conditionalFormatting sqref="AF21">
    <cfRule type="cellIs" dxfId="1" priority="523" operator="greaterThan">
      <formula>AE21</formula>
    </cfRule>
  </conditionalFormatting>
  <conditionalFormatting sqref="AF22">
    <cfRule type="cellIs" dxfId="1" priority="528" operator="greaterThan">
      <formula>AE22</formula>
    </cfRule>
  </conditionalFormatting>
  <conditionalFormatting sqref="AF23">
    <cfRule type="cellIs" dxfId="1" priority="533" operator="greaterThan">
      <formula>AE23</formula>
    </cfRule>
  </conditionalFormatting>
  <conditionalFormatting sqref="AF24">
    <cfRule type="cellIs" dxfId="1" priority="538" operator="greaterThan">
      <formula>AE24</formula>
    </cfRule>
  </conditionalFormatting>
  <conditionalFormatting sqref="AF25">
    <cfRule type="cellIs" dxfId="1" priority="543" operator="greaterThan">
      <formula>AE25</formula>
    </cfRule>
  </conditionalFormatting>
  <conditionalFormatting sqref="AF26">
    <cfRule type="cellIs" dxfId="1" priority="548" operator="greaterThan">
      <formula>AE26</formula>
    </cfRule>
  </conditionalFormatting>
  <conditionalFormatting sqref="AF27">
    <cfRule type="cellIs" dxfId="1" priority="553" operator="greaterThan">
      <formula>AE27</formula>
    </cfRule>
  </conditionalFormatting>
  <conditionalFormatting sqref="AF28">
    <cfRule type="cellIs" dxfId="1" priority="558" operator="greaterThan">
      <formula>AE28</formula>
    </cfRule>
  </conditionalFormatting>
  <conditionalFormatting sqref="AF29">
    <cfRule type="cellIs" dxfId="1" priority="563" operator="greaterThan">
      <formula>AE29</formula>
    </cfRule>
  </conditionalFormatting>
  <conditionalFormatting sqref="AF30">
    <cfRule type="cellIs" dxfId="1" priority="568" operator="greaterThan">
      <formula>AE30</formula>
    </cfRule>
  </conditionalFormatting>
  <conditionalFormatting sqref="AF31">
    <cfRule type="cellIs" dxfId="1" priority="573" operator="greaterThan">
      <formula>AE31</formula>
    </cfRule>
  </conditionalFormatting>
  <conditionalFormatting sqref="AF32">
    <cfRule type="cellIs" dxfId="1" priority="578" operator="greaterThan">
      <formula>AE32</formula>
    </cfRule>
  </conditionalFormatting>
  <conditionalFormatting sqref="AF33">
    <cfRule type="cellIs" dxfId="1" priority="583" operator="greaterThan">
      <formula>AE33</formula>
    </cfRule>
  </conditionalFormatting>
  <conditionalFormatting sqref="AF34">
    <cfRule type="cellIs" dxfId="1" priority="588" operator="greaterThan">
      <formula>AE34</formula>
    </cfRule>
  </conditionalFormatting>
  <conditionalFormatting sqref="AF35">
    <cfRule type="cellIs" dxfId="1" priority="593" operator="greaterThan">
      <formula>AE35</formula>
    </cfRule>
  </conditionalFormatting>
  <conditionalFormatting sqref="AF36">
    <cfRule type="cellIs" dxfId="1" priority="598" operator="greaterThan">
      <formula>AE36</formula>
    </cfRule>
  </conditionalFormatting>
  <conditionalFormatting sqref="AF37">
    <cfRule type="cellIs" dxfId="1" priority="603" operator="greaterThan">
      <formula>AE37</formula>
    </cfRule>
  </conditionalFormatting>
  <conditionalFormatting sqref="AF40">
    <cfRule type="cellIs" dxfId="1" priority="608" operator="greaterThan">
      <formula>AE40</formula>
    </cfRule>
  </conditionalFormatting>
  <conditionalFormatting sqref="AF7">
    <cfRule type="cellIs" dxfId="1" priority="478" operator="greaterThan">
      <formula>AE7</formula>
    </cfRule>
  </conditionalFormatting>
  <conditionalFormatting sqref="AF8">
    <cfRule type="cellIs" dxfId="1" priority="483" operator="greaterThan">
      <formula>AE8</formula>
    </cfRule>
  </conditionalFormatting>
  <conditionalFormatting sqref="AF9">
    <cfRule type="cellIs" dxfId="1" priority="488" operator="greaterThan">
      <formula>AE9</formula>
    </cfRule>
  </conditionalFormatting>
  <conditionalFormatting sqref="AG10">
    <cfRule type="cellIs" dxfId="4" priority="495" operator="lessThanOrEqual">
      <formula>I10</formula>
    </cfRule>
  </conditionalFormatting>
  <conditionalFormatting sqref="AG11">
    <cfRule type="cellIs" dxfId="4" priority="500" operator="lessThanOrEqual">
      <formula>I11</formula>
    </cfRule>
  </conditionalFormatting>
  <conditionalFormatting sqref="AG12">
    <cfRule type="cellIs" dxfId="4" priority="505" operator="lessThanOrEqual">
      <formula>I12</formula>
    </cfRule>
  </conditionalFormatting>
  <conditionalFormatting sqref="AG13">
    <cfRule type="cellIs" dxfId="4" priority="510" operator="lessThanOrEqual">
      <formula>I13</formula>
    </cfRule>
  </conditionalFormatting>
  <conditionalFormatting sqref="AG14">
    <cfRule type="cellIs" dxfId="4" priority="515" operator="lessThanOrEqual">
      <formula>I14</formula>
    </cfRule>
  </conditionalFormatting>
  <conditionalFormatting sqref="AG15">
    <cfRule type="cellIs" dxfId="4" priority="520" operator="lessThanOrEqual">
      <formula>I15</formula>
    </cfRule>
  </conditionalFormatting>
  <conditionalFormatting sqref="AG21">
    <cfRule type="cellIs" dxfId="4" priority="525" operator="lessThanOrEqual">
      <formula>I21</formula>
    </cfRule>
  </conditionalFormatting>
  <conditionalFormatting sqref="AG22">
    <cfRule type="cellIs" dxfId="4" priority="530" operator="lessThanOrEqual">
      <formula>I22</formula>
    </cfRule>
  </conditionalFormatting>
  <conditionalFormatting sqref="AG23">
    <cfRule type="cellIs" dxfId="4" priority="535" operator="lessThanOrEqual">
      <formula>I23</formula>
    </cfRule>
  </conditionalFormatting>
  <conditionalFormatting sqref="AG24">
    <cfRule type="cellIs" dxfId="4" priority="540" operator="lessThanOrEqual">
      <formula>I24</formula>
    </cfRule>
  </conditionalFormatting>
  <conditionalFormatting sqref="AG25">
    <cfRule type="cellIs" dxfId="4" priority="545" operator="lessThanOrEqual">
      <formula>I25</formula>
    </cfRule>
  </conditionalFormatting>
  <conditionalFormatting sqref="AG26">
    <cfRule type="cellIs" dxfId="4" priority="550" operator="lessThanOrEqual">
      <formula>I26</formula>
    </cfRule>
  </conditionalFormatting>
  <conditionalFormatting sqref="AG27">
    <cfRule type="cellIs" dxfId="4" priority="555" operator="lessThanOrEqual">
      <formula>I27</formula>
    </cfRule>
  </conditionalFormatting>
  <conditionalFormatting sqref="AG28">
    <cfRule type="cellIs" dxfId="4" priority="560" operator="lessThanOrEqual">
      <formula>I28</formula>
    </cfRule>
  </conditionalFormatting>
  <conditionalFormatting sqref="AG29">
    <cfRule type="cellIs" dxfId="4" priority="565" operator="lessThanOrEqual">
      <formula>I29</formula>
    </cfRule>
  </conditionalFormatting>
  <conditionalFormatting sqref="AG30">
    <cfRule type="cellIs" dxfId="4" priority="570" operator="lessThanOrEqual">
      <formula>I30</formula>
    </cfRule>
  </conditionalFormatting>
  <conditionalFormatting sqref="AG31">
    <cfRule type="cellIs" dxfId="4" priority="575" operator="lessThanOrEqual">
      <formula>I31</formula>
    </cfRule>
  </conditionalFormatting>
  <conditionalFormatting sqref="AG32">
    <cfRule type="cellIs" dxfId="4" priority="580" operator="lessThanOrEqual">
      <formula>I32</formula>
    </cfRule>
  </conditionalFormatting>
  <conditionalFormatting sqref="AG33">
    <cfRule type="cellIs" dxfId="4" priority="585" operator="lessThanOrEqual">
      <formula>I33</formula>
    </cfRule>
  </conditionalFormatting>
  <conditionalFormatting sqref="AG34">
    <cfRule type="cellIs" dxfId="4" priority="590" operator="lessThanOrEqual">
      <formula>I34</formula>
    </cfRule>
  </conditionalFormatting>
  <conditionalFormatting sqref="AG35">
    <cfRule type="cellIs" dxfId="4" priority="595" operator="lessThanOrEqual">
      <formula>I35</formula>
    </cfRule>
  </conditionalFormatting>
  <conditionalFormatting sqref="AG36">
    <cfRule type="cellIs" dxfId="4" priority="600" operator="lessThanOrEqual">
      <formula>I36</formula>
    </cfRule>
  </conditionalFormatting>
  <conditionalFormatting sqref="AG37">
    <cfRule type="cellIs" dxfId="4" priority="605" operator="lessThanOrEqual">
      <formula>I37</formula>
    </cfRule>
  </conditionalFormatting>
  <conditionalFormatting sqref="AG40">
    <cfRule type="cellIs" dxfId="4" priority="610" operator="lessThanOrEqual">
      <formula>I40</formula>
    </cfRule>
  </conditionalFormatting>
  <conditionalFormatting sqref="AG7">
    <cfRule type="cellIs" dxfId="4" priority="480" operator="lessThanOrEqual">
      <formula>I7</formula>
    </cfRule>
  </conditionalFormatting>
  <conditionalFormatting sqref="AG8">
    <cfRule type="cellIs" dxfId="4" priority="485" operator="lessThanOrEqual">
      <formula>I8</formula>
    </cfRule>
  </conditionalFormatting>
  <conditionalFormatting sqref="AG9">
    <cfRule type="cellIs" dxfId="4" priority="490" operator="lessThanOrEqual">
      <formula>I9</formula>
    </cfRule>
  </conditionalFormatting>
  <conditionalFormatting sqref="AH10">
    <cfRule type="cellIs" dxfId="4" priority="494" operator="lessThanOrEqual">
      <formula>J10</formula>
    </cfRule>
  </conditionalFormatting>
  <conditionalFormatting sqref="AH11">
    <cfRule type="cellIs" dxfId="4" priority="499" operator="lessThanOrEqual">
      <formula>J11</formula>
    </cfRule>
  </conditionalFormatting>
  <conditionalFormatting sqref="AH12">
    <cfRule type="cellIs" dxfId="4" priority="504" operator="lessThanOrEqual">
      <formula>J12</formula>
    </cfRule>
  </conditionalFormatting>
  <conditionalFormatting sqref="AH13">
    <cfRule type="cellIs" dxfId="4" priority="509" operator="lessThanOrEqual">
      <formula>J13</formula>
    </cfRule>
  </conditionalFormatting>
  <conditionalFormatting sqref="AH14">
    <cfRule type="cellIs" dxfId="4" priority="514" operator="lessThanOrEqual">
      <formula>J14</formula>
    </cfRule>
  </conditionalFormatting>
  <conditionalFormatting sqref="AH15">
    <cfRule type="cellIs" dxfId="4" priority="519" operator="lessThanOrEqual">
      <formula>J15</formula>
    </cfRule>
  </conditionalFormatting>
  <conditionalFormatting sqref="AH21">
    <cfRule type="cellIs" dxfId="4" priority="524" operator="lessThanOrEqual">
      <formula>J21</formula>
    </cfRule>
  </conditionalFormatting>
  <conditionalFormatting sqref="AH22">
    <cfRule type="cellIs" dxfId="4" priority="529" operator="lessThanOrEqual">
      <formula>J22</formula>
    </cfRule>
  </conditionalFormatting>
  <conditionalFormatting sqref="AH23">
    <cfRule type="cellIs" dxfId="4" priority="534" operator="lessThanOrEqual">
      <formula>J23</formula>
    </cfRule>
  </conditionalFormatting>
  <conditionalFormatting sqref="AH24">
    <cfRule type="cellIs" dxfId="4" priority="539" operator="lessThanOrEqual">
      <formula>J24</formula>
    </cfRule>
  </conditionalFormatting>
  <conditionalFormatting sqref="AH25">
    <cfRule type="cellIs" dxfId="4" priority="544" operator="lessThanOrEqual">
      <formula>J25</formula>
    </cfRule>
  </conditionalFormatting>
  <conditionalFormatting sqref="AH26">
    <cfRule type="cellIs" dxfId="4" priority="549" operator="lessThanOrEqual">
      <formula>J26</formula>
    </cfRule>
  </conditionalFormatting>
  <conditionalFormatting sqref="AH27">
    <cfRule type="cellIs" dxfId="4" priority="554" operator="lessThanOrEqual">
      <formula>J27</formula>
    </cfRule>
  </conditionalFormatting>
  <conditionalFormatting sqref="AH28">
    <cfRule type="cellIs" dxfId="4" priority="559" operator="lessThanOrEqual">
      <formula>J28</formula>
    </cfRule>
  </conditionalFormatting>
  <conditionalFormatting sqref="AH29">
    <cfRule type="cellIs" dxfId="4" priority="564" operator="lessThanOrEqual">
      <formula>J29</formula>
    </cfRule>
  </conditionalFormatting>
  <conditionalFormatting sqref="AH30">
    <cfRule type="cellIs" dxfId="4" priority="569" operator="lessThanOrEqual">
      <formula>J30</formula>
    </cfRule>
  </conditionalFormatting>
  <conditionalFormatting sqref="AH31">
    <cfRule type="cellIs" dxfId="4" priority="574" operator="lessThanOrEqual">
      <formula>J31</formula>
    </cfRule>
  </conditionalFormatting>
  <conditionalFormatting sqref="AH32">
    <cfRule type="cellIs" dxfId="4" priority="579" operator="lessThanOrEqual">
      <formula>J32</formula>
    </cfRule>
  </conditionalFormatting>
  <conditionalFormatting sqref="AH33">
    <cfRule type="cellIs" dxfId="4" priority="584" operator="lessThanOrEqual">
      <formula>J33</formula>
    </cfRule>
  </conditionalFormatting>
  <conditionalFormatting sqref="AH34">
    <cfRule type="cellIs" dxfId="4" priority="589" operator="lessThanOrEqual">
      <formula>J34</formula>
    </cfRule>
  </conditionalFormatting>
  <conditionalFormatting sqref="AH35">
    <cfRule type="cellIs" dxfId="4" priority="594" operator="lessThanOrEqual">
      <formula>J35</formula>
    </cfRule>
  </conditionalFormatting>
  <conditionalFormatting sqref="AH36">
    <cfRule type="cellIs" dxfId="4" priority="599" operator="lessThanOrEqual">
      <formula>J36</formula>
    </cfRule>
  </conditionalFormatting>
  <conditionalFormatting sqref="AH37">
    <cfRule type="cellIs" dxfId="4" priority="604" operator="lessThanOrEqual">
      <formula>J37</formula>
    </cfRule>
  </conditionalFormatting>
  <conditionalFormatting sqref="AH40">
    <cfRule type="cellIs" dxfId="4" priority="609" operator="lessThanOrEqual">
      <formula>J40</formula>
    </cfRule>
  </conditionalFormatting>
  <conditionalFormatting sqref="AH7">
    <cfRule type="cellIs" dxfId="4" priority="479" operator="lessThanOrEqual">
      <formula>J7</formula>
    </cfRule>
  </conditionalFormatting>
  <conditionalFormatting sqref="AH8">
    <cfRule type="cellIs" dxfId="4" priority="484" operator="lessThanOrEqual">
      <formula>J8</formula>
    </cfRule>
  </conditionalFormatting>
  <conditionalFormatting sqref="AH9">
    <cfRule type="cellIs" dxfId="4" priority="489" operator="lessThanOrEqual">
      <formula>J9</formula>
    </cfRule>
  </conditionalFormatting>
  <conditionalFormatting sqref="AJ10">
    <cfRule type="cellIs" dxfId="1" priority="627" operator="equal">
      <formula>0</formula>
    </cfRule>
    <cfRule type="cellIs" dxfId="2" priority="628" operator="lessThan">
      <formula>H10</formula>
    </cfRule>
  </conditionalFormatting>
  <conditionalFormatting sqref="AJ11">
    <cfRule type="cellIs" dxfId="1" priority="633" operator="equal">
      <formula>0</formula>
    </cfRule>
    <cfRule type="cellIs" dxfId="2" priority="634" operator="lessThan">
      <formula>H11</formula>
    </cfRule>
  </conditionalFormatting>
  <conditionalFormatting sqref="AJ12">
    <cfRule type="cellIs" dxfId="1" priority="638" operator="equal">
      <formula>0</formula>
    </cfRule>
    <cfRule type="cellIs" dxfId="2" priority="639" operator="lessThan">
      <formula>H12</formula>
    </cfRule>
  </conditionalFormatting>
  <conditionalFormatting sqref="AJ13">
    <cfRule type="cellIs" dxfId="1" priority="643" operator="equal">
      <formula>0</formula>
    </cfRule>
    <cfRule type="cellIs" dxfId="2" priority="644" operator="lessThan">
      <formula>H13</formula>
    </cfRule>
  </conditionalFormatting>
  <conditionalFormatting sqref="AJ14">
    <cfRule type="cellIs" dxfId="1" priority="648" operator="equal">
      <formula>0</formula>
    </cfRule>
    <cfRule type="cellIs" dxfId="2" priority="649" operator="lessThan">
      <formula>H14</formula>
    </cfRule>
  </conditionalFormatting>
  <conditionalFormatting sqref="AJ15">
    <cfRule type="cellIs" dxfId="1" priority="653" operator="equal">
      <formula>0</formula>
    </cfRule>
    <cfRule type="cellIs" dxfId="2" priority="654" operator="lessThan">
      <formula>H15</formula>
    </cfRule>
  </conditionalFormatting>
  <conditionalFormatting sqref="AJ21">
    <cfRule type="cellIs" dxfId="1" priority="658" operator="equal">
      <formula>0</formula>
    </cfRule>
    <cfRule type="cellIs" dxfId="2" priority="659" operator="lessThan">
      <formula>H21</formula>
    </cfRule>
  </conditionalFormatting>
  <conditionalFormatting sqref="AJ22">
    <cfRule type="cellIs" dxfId="1" priority="664" operator="equal">
      <formula>0</formula>
    </cfRule>
    <cfRule type="cellIs" dxfId="2" priority="665" operator="lessThan">
      <formula>H22</formula>
    </cfRule>
  </conditionalFormatting>
  <conditionalFormatting sqref="AJ23">
    <cfRule type="cellIs" dxfId="1" priority="669" operator="equal">
      <formula>0</formula>
    </cfRule>
    <cfRule type="cellIs" dxfId="2" priority="670" operator="lessThan">
      <formula>H23</formula>
    </cfRule>
  </conditionalFormatting>
  <conditionalFormatting sqref="AJ24">
    <cfRule type="cellIs" dxfId="1" priority="674" operator="equal">
      <formula>0</formula>
    </cfRule>
    <cfRule type="cellIs" dxfId="2" priority="675" operator="lessThan">
      <formula>H24</formula>
    </cfRule>
  </conditionalFormatting>
  <conditionalFormatting sqref="AJ25">
    <cfRule type="cellIs" dxfId="1" priority="680" operator="equal">
      <formula>0</formula>
    </cfRule>
    <cfRule type="cellIs" dxfId="2" priority="681" operator="lessThan">
      <formula>H25</formula>
    </cfRule>
  </conditionalFormatting>
  <conditionalFormatting sqref="AJ26">
    <cfRule type="cellIs" dxfId="1" priority="685" operator="equal">
      <formula>0</formula>
    </cfRule>
    <cfRule type="cellIs" dxfId="2" priority="686" operator="lessThan">
      <formula>H26</formula>
    </cfRule>
  </conditionalFormatting>
  <conditionalFormatting sqref="AJ27">
    <cfRule type="cellIs" dxfId="1" priority="690" operator="equal">
      <formula>0</formula>
    </cfRule>
    <cfRule type="cellIs" dxfId="2" priority="691" operator="lessThan">
      <formula>H27</formula>
    </cfRule>
  </conditionalFormatting>
  <conditionalFormatting sqref="AJ28">
    <cfRule type="cellIs" dxfId="1" priority="695" operator="equal">
      <formula>0</formula>
    </cfRule>
    <cfRule type="cellIs" dxfId="2" priority="696" operator="lessThan">
      <formula>H28</formula>
    </cfRule>
  </conditionalFormatting>
  <conditionalFormatting sqref="AJ29">
    <cfRule type="cellIs" dxfId="1" priority="700" operator="equal">
      <formula>0</formula>
    </cfRule>
    <cfRule type="cellIs" dxfId="2" priority="701" operator="lessThan">
      <formula>H29</formula>
    </cfRule>
  </conditionalFormatting>
  <conditionalFormatting sqref="AJ30">
    <cfRule type="cellIs" dxfId="1" priority="705" operator="equal">
      <formula>0</formula>
    </cfRule>
    <cfRule type="cellIs" dxfId="2" priority="706" operator="lessThan">
      <formula>H30</formula>
    </cfRule>
  </conditionalFormatting>
  <conditionalFormatting sqref="AJ31">
    <cfRule type="cellIs" dxfId="1" priority="710" operator="equal">
      <formula>0</formula>
    </cfRule>
    <cfRule type="cellIs" dxfId="2" priority="711" operator="lessThan">
      <formula>H31</formula>
    </cfRule>
  </conditionalFormatting>
  <conditionalFormatting sqref="AJ32">
    <cfRule type="cellIs" dxfId="1" priority="716" operator="equal">
      <formula>0</formula>
    </cfRule>
    <cfRule type="cellIs" dxfId="2" priority="717" operator="lessThan">
      <formula>H32</formula>
    </cfRule>
  </conditionalFormatting>
  <conditionalFormatting sqref="AJ33">
    <cfRule type="cellIs" dxfId="1" priority="721" operator="equal">
      <formula>0</formula>
    </cfRule>
    <cfRule type="cellIs" dxfId="2" priority="722" operator="lessThan">
      <formula>H33</formula>
    </cfRule>
  </conditionalFormatting>
  <conditionalFormatting sqref="AJ35">
    <cfRule type="cellIs" dxfId="1" priority="726" operator="equal">
      <formula>0</formula>
    </cfRule>
    <cfRule type="cellIs" dxfId="2" priority="727" operator="lessThan">
      <formula>H35</formula>
    </cfRule>
  </conditionalFormatting>
  <conditionalFormatting sqref="AJ36">
    <cfRule type="cellIs" dxfId="1" priority="731" operator="equal">
      <formula>0</formula>
    </cfRule>
    <cfRule type="cellIs" dxfId="2" priority="732" operator="lessThan">
      <formula>H36</formula>
    </cfRule>
  </conditionalFormatting>
  <conditionalFormatting sqref="AJ37">
    <cfRule type="cellIs" dxfId="1" priority="736" operator="equal">
      <formula>0</formula>
    </cfRule>
    <cfRule type="cellIs" dxfId="2" priority="737" operator="lessThan">
      <formula>H37</formula>
    </cfRule>
  </conditionalFormatting>
  <conditionalFormatting sqref="AJ40">
    <cfRule type="cellIs" dxfId="1" priority="741" operator="equal">
      <formula>0</formula>
    </cfRule>
    <cfRule type="cellIs" dxfId="2" priority="742" operator="lessThan">
      <formula>H40</formula>
    </cfRule>
  </conditionalFormatting>
  <conditionalFormatting sqref="AJ7">
    <cfRule type="cellIs" dxfId="1" priority="611" operator="equal">
      <formula>0</formula>
    </cfRule>
    <cfRule type="cellIs" dxfId="2" priority="612" operator="lessThan">
      <formula>H7</formula>
    </cfRule>
  </conditionalFormatting>
  <conditionalFormatting sqref="AJ8">
    <cfRule type="cellIs" dxfId="1" priority="616" operator="equal">
      <formula>0</formula>
    </cfRule>
    <cfRule type="cellIs" dxfId="2" priority="617" operator="lessThan">
      <formula>H8</formula>
    </cfRule>
  </conditionalFormatting>
  <conditionalFormatting sqref="AJ9">
    <cfRule type="cellIs" dxfId="1" priority="621" operator="equal">
      <formula>0</formula>
    </cfRule>
    <cfRule type="cellIs" dxfId="2" priority="622" operator="lessThan">
      <formula>H9</formula>
    </cfRule>
  </conditionalFormatting>
  <conditionalFormatting sqref="AK10">
    <cfRule type="expression" dxfId="3" priority="629">
      <formula>AND(AK10&gt;0,AK10&lt;10)</formula>
    </cfRule>
    <cfRule type="cellIs" dxfId="1" priority="630" operator="greaterThan">
      <formula>AJ10</formula>
    </cfRule>
  </conditionalFormatting>
  <conditionalFormatting sqref="AK11">
    <cfRule type="cellIs" dxfId="1" priority="635" operator="greaterThan">
      <formula>AJ11</formula>
    </cfRule>
  </conditionalFormatting>
  <conditionalFormatting sqref="AK12">
    <cfRule type="cellIs" dxfId="1" priority="640" operator="greaterThan">
      <formula>AJ12</formula>
    </cfRule>
  </conditionalFormatting>
  <conditionalFormatting sqref="AK13">
    <cfRule type="cellIs" dxfId="1" priority="645" operator="greaterThan">
      <formula>AJ13</formula>
    </cfRule>
  </conditionalFormatting>
  <conditionalFormatting sqref="AK14">
    <cfRule type="cellIs" dxfId="1" priority="650" operator="greaterThan">
      <formula>AJ14</formula>
    </cfRule>
  </conditionalFormatting>
  <conditionalFormatting sqref="AK15">
    <cfRule type="cellIs" dxfId="1" priority="655" operator="greaterThan">
      <formula>AJ15</formula>
    </cfRule>
  </conditionalFormatting>
  <conditionalFormatting sqref="AK21">
    <cfRule type="expression" dxfId="3" priority="660">
      <formula>AND(AK21&gt;0,AK21&lt;15000)</formula>
    </cfRule>
    <cfRule type="cellIs" dxfId="1" priority="661" operator="greaterThan">
      <formula>AJ21</formula>
    </cfRule>
  </conditionalFormatting>
  <conditionalFormatting sqref="AK22">
    <cfRule type="cellIs" dxfId="1" priority="666" operator="greaterThan">
      <formula>AJ22</formula>
    </cfRule>
  </conditionalFormatting>
  <conditionalFormatting sqref="AK23">
    <cfRule type="cellIs" dxfId="1" priority="671" operator="greaterThan">
      <formula>AJ23</formula>
    </cfRule>
  </conditionalFormatting>
  <conditionalFormatting sqref="AK24">
    <cfRule type="expression" dxfId="3" priority="676">
      <formula>AND(AK24&gt;0,AK24&lt;15000)</formula>
    </cfRule>
    <cfRule type="cellIs" dxfId="1" priority="677" operator="greaterThan">
      <formula>AJ24</formula>
    </cfRule>
  </conditionalFormatting>
  <conditionalFormatting sqref="AK25">
    <cfRule type="cellIs" dxfId="1" priority="682" operator="greaterThan">
      <formula>AJ25</formula>
    </cfRule>
  </conditionalFormatting>
  <conditionalFormatting sqref="AK26">
    <cfRule type="cellIs" dxfId="1" priority="687" operator="greaterThan">
      <formula>AJ26</formula>
    </cfRule>
  </conditionalFormatting>
  <conditionalFormatting sqref="AK27">
    <cfRule type="cellIs" dxfId="1" priority="692" operator="greaterThan">
      <formula>AJ27</formula>
    </cfRule>
  </conditionalFormatting>
  <conditionalFormatting sqref="AK28">
    <cfRule type="cellIs" dxfId="1" priority="697" operator="greaterThan">
      <formula>AJ28</formula>
    </cfRule>
  </conditionalFormatting>
  <conditionalFormatting sqref="AK29">
    <cfRule type="cellIs" dxfId="1" priority="702" operator="greaterThan">
      <formula>AJ29</formula>
    </cfRule>
  </conditionalFormatting>
  <conditionalFormatting sqref="AK30">
    <cfRule type="cellIs" dxfId="1" priority="707" operator="greaterThan">
      <formula>AJ30</formula>
    </cfRule>
  </conditionalFormatting>
  <conditionalFormatting sqref="AK31">
    <cfRule type="expression" dxfId="3" priority="712">
      <formula>AND(AK31&gt;0,AK31&lt;5)</formula>
    </cfRule>
    <cfRule type="cellIs" dxfId="1" priority="713" operator="greaterThan">
      <formula>AJ31</formula>
    </cfRule>
  </conditionalFormatting>
  <conditionalFormatting sqref="AK32">
    <cfRule type="cellIs" dxfId="1" priority="718" operator="greaterThan">
      <formula>AJ32</formula>
    </cfRule>
  </conditionalFormatting>
  <conditionalFormatting sqref="AK33">
    <cfRule type="cellIs" dxfId="1" priority="723" operator="greaterThan">
      <formula>AJ33</formula>
    </cfRule>
  </conditionalFormatting>
  <conditionalFormatting sqref="AK35">
    <cfRule type="cellIs" dxfId="1" priority="728" operator="greaterThan">
      <formula>AJ35</formula>
    </cfRule>
  </conditionalFormatting>
  <conditionalFormatting sqref="AK36">
    <cfRule type="cellIs" dxfId="1" priority="733" operator="greaterThan">
      <formula>AJ36</formula>
    </cfRule>
  </conditionalFormatting>
  <conditionalFormatting sqref="AK37">
    <cfRule type="cellIs" dxfId="1" priority="738" operator="greaterThan">
      <formula>AJ37</formula>
    </cfRule>
  </conditionalFormatting>
  <conditionalFormatting sqref="AK40">
    <cfRule type="cellIs" dxfId="1" priority="743" operator="greaterThan">
      <formula>AJ40</formula>
    </cfRule>
  </conditionalFormatting>
  <conditionalFormatting sqref="AK7">
    <cfRule type="cellIs" dxfId="1" priority="613" operator="greaterThan">
      <formula>AJ7</formula>
    </cfRule>
  </conditionalFormatting>
  <conditionalFormatting sqref="AK8">
    <cfRule type="cellIs" dxfId="1" priority="618" operator="greaterThan">
      <formula>AJ8</formula>
    </cfRule>
  </conditionalFormatting>
  <conditionalFormatting sqref="AK9">
    <cfRule type="expression" dxfId="3" priority="623">
      <formula>AND(AK9&gt;0,AK9&lt;10)</formula>
    </cfRule>
    <cfRule type="cellIs" dxfId="1" priority="624" operator="greaterThan">
      <formula>AJ9</formula>
    </cfRule>
  </conditionalFormatting>
  <conditionalFormatting sqref="AL10">
    <cfRule type="cellIs" dxfId="4" priority="632" operator="lessThanOrEqual">
      <formula>I10</formula>
    </cfRule>
  </conditionalFormatting>
  <conditionalFormatting sqref="AL11">
    <cfRule type="cellIs" dxfId="4" priority="637" operator="lessThanOrEqual">
      <formula>I11</formula>
    </cfRule>
  </conditionalFormatting>
  <conditionalFormatting sqref="AL12">
    <cfRule type="cellIs" dxfId="4" priority="642" operator="lessThanOrEqual">
      <formula>I12</formula>
    </cfRule>
  </conditionalFormatting>
  <conditionalFormatting sqref="AL13">
    <cfRule type="cellIs" dxfId="4" priority="647" operator="lessThanOrEqual">
      <formula>I13</formula>
    </cfRule>
  </conditionalFormatting>
  <conditionalFormatting sqref="AL14">
    <cfRule type="cellIs" dxfId="4" priority="652" operator="lessThanOrEqual">
      <formula>I14</formula>
    </cfRule>
  </conditionalFormatting>
  <conditionalFormatting sqref="AL15">
    <cfRule type="cellIs" dxfId="4" priority="657" operator="lessThanOrEqual">
      <formula>I15</formula>
    </cfRule>
  </conditionalFormatting>
  <conditionalFormatting sqref="AL21">
    <cfRule type="cellIs" dxfId="4" priority="663" operator="lessThanOrEqual">
      <formula>I21</formula>
    </cfRule>
  </conditionalFormatting>
  <conditionalFormatting sqref="AL22">
    <cfRule type="cellIs" dxfId="4" priority="668" operator="lessThanOrEqual">
      <formula>I22</formula>
    </cfRule>
  </conditionalFormatting>
  <conditionalFormatting sqref="AL23">
    <cfRule type="cellIs" dxfId="4" priority="673" operator="lessThanOrEqual">
      <formula>I23</formula>
    </cfRule>
  </conditionalFormatting>
  <conditionalFormatting sqref="AL24">
    <cfRule type="cellIs" dxfId="4" priority="679" operator="lessThanOrEqual">
      <formula>I24</formula>
    </cfRule>
  </conditionalFormatting>
  <conditionalFormatting sqref="AL25">
    <cfRule type="cellIs" dxfId="4" priority="684" operator="lessThanOrEqual">
      <formula>I25</formula>
    </cfRule>
  </conditionalFormatting>
  <conditionalFormatting sqref="AL26">
    <cfRule type="cellIs" dxfId="4" priority="689" operator="lessThanOrEqual">
      <formula>I26</formula>
    </cfRule>
  </conditionalFormatting>
  <conditionalFormatting sqref="AL27">
    <cfRule type="cellIs" dxfId="4" priority="694" operator="lessThanOrEqual">
      <formula>I27</formula>
    </cfRule>
  </conditionalFormatting>
  <conditionalFormatting sqref="AL28">
    <cfRule type="cellIs" dxfId="4" priority="699" operator="lessThanOrEqual">
      <formula>I28</formula>
    </cfRule>
  </conditionalFormatting>
  <conditionalFormatting sqref="AL29">
    <cfRule type="cellIs" dxfId="4" priority="704" operator="lessThanOrEqual">
      <formula>I29</formula>
    </cfRule>
  </conditionalFormatting>
  <conditionalFormatting sqref="AL30">
    <cfRule type="cellIs" dxfId="4" priority="709" operator="lessThanOrEqual">
      <formula>I30</formula>
    </cfRule>
  </conditionalFormatting>
  <conditionalFormatting sqref="AL31">
    <cfRule type="cellIs" dxfId="4" priority="715" operator="lessThanOrEqual">
      <formula>I31</formula>
    </cfRule>
  </conditionalFormatting>
  <conditionalFormatting sqref="AL32">
    <cfRule type="cellIs" dxfId="4" priority="720" operator="lessThanOrEqual">
      <formula>I32</formula>
    </cfRule>
  </conditionalFormatting>
  <conditionalFormatting sqref="AL33">
    <cfRule type="cellIs" dxfId="4" priority="725" operator="lessThanOrEqual">
      <formula>I33</formula>
    </cfRule>
  </conditionalFormatting>
  <conditionalFormatting sqref="AL35">
    <cfRule type="cellIs" dxfId="4" priority="730" operator="lessThanOrEqual">
      <formula>I35</formula>
    </cfRule>
  </conditionalFormatting>
  <conditionalFormatting sqref="AL36">
    <cfRule type="cellIs" dxfId="4" priority="735" operator="lessThanOrEqual">
      <formula>I36</formula>
    </cfRule>
  </conditionalFormatting>
  <conditionalFormatting sqref="AL37">
    <cfRule type="cellIs" dxfId="4" priority="740" operator="lessThanOrEqual">
      <formula>I37</formula>
    </cfRule>
  </conditionalFormatting>
  <conditionalFormatting sqref="AL40">
    <cfRule type="cellIs" dxfId="4" priority="745" operator="lessThanOrEqual">
      <formula>I40</formula>
    </cfRule>
  </conditionalFormatting>
  <conditionalFormatting sqref="AL7">
    <cfRule type="cellIs" dxfId="4" priority="615" operator="lessThanOrEqual">
      <formula>I7</formula>
    </cfRule>
  </conditionalFormatting>
  <conditionalFormatting sqref="AL8">
    <cfRule type="cellIs" dxfId="4" priority="620" operator="lessThanOrEqual">
      <formula>I8</formula>
    </cfRule>
  </conditionalFormatting>
  <conditionalFormatting sqref="AL9">
    <cfRule type="cellIs" dxfId="4" priority="626" operator="lessThanOrEqual">
      <formula>I9</formula>
    </cfRule>
  </conditionalFormatting>
  <conditionalFormatting sqref="AM10">
    <cfRule type="cellIs" dxfId="4" priority="631" operator="lessThanOrEqual">
      <formula>J10</formula>
    </cfRule>
  </conditionalFormatting>
  <conditionalFormatting sqref="AM11">
    <cfRule type="cellIs" dxfId="4" priority="636" operator="lessThanOrEqual">
      <formula>J11</formula>
    </cfRule>
  </conditionalFormatting>
  <conditionalFormatting sqref="AM12">
    <cfRule type="cellIs" dxfId="4" priority="641" operator="lessThanOrEqual">
      <formula>J12</formula>
    </cfRule>
  </conditionalFormatting>
  <conditionalFormatting sqref="AM13">
    <cfRule type="cellIs" dxfId="4" priority="646" operator="lessThanOrEqual">
      <formula>J13</formula>
    </cfRule>
  </conditionalFormatting>
  <conditionalFormatting sqref="AM14">
    <cfRule type="cellIs" dxfId="4" priority="651" operator="lessThanOrEqual">
      <formula>J14</formula>
    </cfRule>
  </conditionalFormatting>
  <conditionalFormatting sqref="AM15">
    <cfRule type="cellIs" dxfId="4" priority="656" operator="lessThanOrEqual">
      <formula>J15</formula>
    </cfRule>
  </conditionalFormatting>
  <conditionalFormatting sqref="AM21">
    <cfRule type="cellIs" dxfId="4" priority="662" operator="lessThanOrEqual">
      <formula>J21</formula>
    </cfRule>
  </conditionalFormatting>
  <conditionalFormatting sqref="AM22">
    <cfRule type="cellIs" dxfId="4" priority="667" operator="lessThanOrEqual">
      <formula>J22</formula>
    </cfRule>
  </conditionalFormatting>
  <conditionalFormatting sqref="AM23">
    <cfRule type="cellIs" dxfId="4" priority="672" operator="lessThanOrEqual">
      <formula>J23</formula>
    </cfRule>
  </conditionalFormatting>
  <conditionalFormatting sqref="AM24">
    <cfRule type="cellIs" dxfId="4" priority="678" operator="lessThanOrEqual">
      <formula>J24</formula>
    </cfRule>
  </conditionalFormatting>
  <conditionalFormatting sqref="AM25">
    <cfRule type="cellIs" dxfId="4" priority="683" operator="lessThanOrEqual">
      <formula>J25</formula>
    </cfRule>
  </conditionalFormatting>
  <conditionalFormatting sqref="AM26">
    <cfRule type="cellIs" dxfId="4" priority="688" operator="lessThanOrEqual">
      <formula>J26</formula>
    </cfRule>
  </conditionalFormatting>
  <conditionalFormatting sqref="AM27">
    <cfRule type="cellIs" dxfId="4" priority="693" operator="lessThanOrEqual">
      <formula>J27</formula>
    </cfRule>
  </conditionalFormatting>
  <conditionalFormatting sqref="AM28">
    <cfRule type="cellIs" dxfId="4" priority="698" operator="lessThanOrEqual">
      <formula>J28</formula>
    </cfRule>
  </conditionalFormatting>
  <conditionalFormatting sqref="AM29">
    <cfRule type="cellIs" dxfId="4" priority="703" operator="lessThanOrEqual">
      <formula>J29</formula>
    </cfRule>
  </conditionalFormatting>
  <conditionalFormatting sqref="AM30">
    <cfRule type="cellIs" dxfId="4" priority="708" operator="lessThanOrEqual">
      <formula>J30</formula>
    </cfRule>
  </conditionalFormatting>
  <conditionalFormatting sqref="AM31">
    <cfRule type="cellIs" dxfId="4" priority="714" operator="lessThanOrEqual">
      <formula>J31</formula>
    </cfRule>
  </conditionalFormatting>
  <conditionalFormatting sqref="AM32">
    <cfRule type="cellIs" dxfId="4" priority="719" operator="lessThanOrEqual">
      <formula>J32</formula>
    </cfRule>
  </conditionalFormatting>
  <conditionalFormatting sqref="AM33">
    <cfRule type="cellIs" dxfId="4" priority="724" operator="lessThanOrEqual">
      <formula>J33</formula>
    </cfRule>
  </conditionalFormatting>
  <conditionalFormatting sqref="AM35">
    <cfRule type="cellIs" dxfId="4" priority="729" operator="lessThanOrEqual">
      <formula>J35</formula>
    </cfRule>
  </conditionalFormatting>
  <conditionalFormatting sqref="AM36">
    <cfRule type="cellIs" dxfId="4" priority="734" operator="lessThanOrEqual">
      <formula>J36</formula>
    </cfRule>
  </conditionalFormatting>
  <conditionalFormatting sqref="AM37">
    <cfRule type="cellIs" dxfId="4" priority="739" operator="lessThanOrEqual">
      <formula>J37</formula>
    </cfRule>
  </conditionalFormatting>
  <conditionalFormatting sqref="AM40">
    <cfRule type="cellIs" dxfId="4" priority="744" operator="lessThanOrEqual">
      <formula>J40</formula>
    </cfRule>
  </conditionalFormatting>
  <conditionalFormatting sqref="AM7">
    <cfRule type="cellIs" dxfId="4" priority="614" operator="lessThanOrEqual">
      <formula>J7</formula>
    </cfRule>
  </conditionalFormatting>
  <conditionalFormatting sqref="AM8">
    <cfRule type="cellIs" dxfId="4" priority="619" operator="lessThanOrEqual">
      <formula>J8</formula>
    </cfRule>
  </conditionalFormatting>
  <conditionalFormatting sqref="AM9">
    <cfRule type="cellIs" dxfId="4" priority="625" operator="lessThanOrEqual">
      <formula>J9</formula>
    </cfRule>
  </conditionalFormatting>
  <conditionalFormatting sqref="AO12">
    <cfRule type="cellIs" dxfId="1" priority="752" operator="equal">
      <formula>0</formula>
    </cfRule>
    <cfRule type="cellIs" dxfId="2" priority="753" operator="lessThan">
      <formula>H12</formula>
    </cfRule>
  </conditionalFormatting>
  <conditionalFormatting sqref="AO21">
    <cfRule type="cellIs" dxfId="1" priority="758" operator="equal">
      <formula>0</formula>
    </cfRule>
    <cfRule type="cellIs" dxfId="2" priority="759" operator="lessThan">
      <formula>H21</formula>
    </cfRule>
  </conditionalFormatting>
  <conditionalFormatting sqref="AO22">
    <cfRule type="cellIs" dxfId="1" priority="764" operator="equal">
      <formula>0</formula>
    </cfRule>
    <cfRule type="cellIs" dxfId="2" priority="765" operator="lessThan">
      <formula>H22</formula>
    </cfRule>
  </conditionalFormatting>
  <conditionalFormatting sqref="AO23">
    <cfRule type="cellIs" dxfId="1" priority="770" operator="equal">
      <formula>0</formula>
    </cfRule>
    <cfRule type="cellIs" dxfId="2" priority="771" operator="lessThan">
      <formula>H23</formula>
    </cfRule>
  </conditionalFormatting>
  <conditionalFormatting sqref="AO25">
    <cfRule type="cellIs" dxfId="1" priority="776" operator="equal">
      <formula>0</formula>
    </cfRule>
    <cfRule type="cellIs" dxfId="2" priority="777" operator="lessThan">
      <formula>H25</formula>
    </cfRule>
  </conditionalFormatting>
  <conditionalFormatting sqref="AO27">
    <cfRule type="cellIs" dxfId="1" priority="782" operator="equal">
      <formula>0</formula>
    </cfRule>
    <cfRule type="cellIs" dxfId="2" priority="783" operator="lessThan">
      <formula>H27</formula>
    </cfRule>
  </conditionalFormatting>
  <conditionalFormatting sqref="AO29">
    <cfRule type="cellIs" dxfId="1" priority="788" operator="equal">
      <formula>0</formula>
    </cfRule>
    <cfRule type="cellIs" dxfId="2" priority="789" operator="lessThan">
      <formula>H29</formula>
    </cfRule>
  </conditionalFormatting>
  <conditionalFormatting sqref="AO31">
    <cfRule type="cellIs" dxfId="1" priority="794" operator="equal">
      <formula>0</formula>
    </cfRule>
    <cfRule type="cellIs" dxfId="2" priority="795" operator="lessThan">
      <formula>H31</formula>
    </cfRule>
  </conditionalFormatting>
  <conditionalFormatting sqref="AO33">
    <cfRule type="cellIs" dxfId="1" priority="800" operator="equal">
      <formula>0</formula>
    </cfRule>
    <cfRule type="cellIs" dxfId="2" priority="801" operator="lessThan">
      <formula>H33</formula>
    </cfRule>
  </conditionalFormatting>
  <conditionalFormatting sqref="AO36">
    <cfRule type="cellIs" dxfId="1" priority="806" operator="equal">
      <formula>0</formula>
    </cfRule>
    <cfRule type="cellIs" dxfId="2" priority="807" operator="lessThan">
      <formula>H36</formula>
    </cfRule>
  </conditionalFormatting>
  <conditionalFormatting sqref="AO37">
    <cfRule type="cellIs" dxfId="1" priority="812" operator="equal">
      <formula>0</formula>
    </cfRule>
    <cfRule type="cellIs" dxfId="2" priority="813" operator="lessThan">
      <formula>H37</formula>
    </cfRule>
  </conditionalFormatting>
  <conditionalFormatting sqref="AO9">
    <cfRule type="cellIs" dxfId="1" priority="746" operator="equal">
      <formula>0</formula>
    </cfRule>
    <cfRule type="cellIs" dxfId="2" priority="747" operator="lessThan">
      <formula>H9</formula>
    </cfRule>
  </conditionalFormatting>
  <conditionalFormatting sqref="AP12">
    <cfRule type="expression" dxfId="3" priority="754">
      <formula>AND(AP12&gt;0,AP12&lt;1000)</formula>
    </cfRule>
    <cfRule type="cellIs" dxfId="1" priority="755" operator="greaterThan">
      <formula>AO12</formula>
    </cfRule>
  </conditionalFormatting>
  <conditionalFormatting sqref="AP21">
    <cfRule type="expression" dxfId="3" priority="760">
      <formula>AND(AP21&gt;0,AP21&lt;1000)</formula>
    </cfRule>
    <cfRule type="cellIs" dxfId="1" priority="761" operator="greaterThan">
      <formula>AO21</formula>
    </cfRule>
  </conditionalFormatting>
  <conditionalFormatting sqref="AP22">
    <cfRule type="expression" dxfId="3" priority="766">
      <formula>AND(AP22&gt;0,AP22&lt;1000)</formula>
    </cfRule>
    <cfRule type="cellIs" dxfId="1" priority="767" operator="greaterThan">
      <formula>AO22</formula>
    </cfRule>
  </conditionalFormatting>
  <conditionalFormatting sqref="AP23">
    <cfRule type="expression" dxfId="3" priority="772">
      <formula>AND(AP23&gt;0,AP23&lt;1000)</formula>
    </cfRule>
    <cfRule type="cellIs" dxfId="1" priority="773" operator="greaterThan">
      <formula>AO23</formula>
    </cfRule>
  </conditionalFormatting>
  <conditionalFormatting sqref="AP25">
    <cfRule type="expression" dxfId="3" priority="778">
      <formula>AND(AP25&gt;0,AP25&lt;1000)</formula>
    </cfRule>
    <cfRule type="cellIs" dxfId="1" priority="779" operator="greaterThan">
      <formula>AO25</formula>
    </cfRule>
  </conditionalFormatting>
  <conditionalFormatting sqref="AP27">
    <cfRule type="expression" dxfId="3" priority="784">
      <formula>AND(AP27&gt;0,AP27&lt;1000)</formula>
    </cfRule>
    <cfRule type="cellIs" dxfId="1" priority="785" operator="greaterThan">
      <formula>AO27</formula>
    </cfRule>
  </conditionalFormatting>
  <conditionalFormatting sqref="AP29">
    <cfRule type="expression" dxfId="3" priority="790">
      <formula>AND(AP29&gt;0,AP29&lt;1000)</formula>
    </cfRule>
    <cfRule type="cellIs" dxfId="1" priority="791" operator="greaterThan">
      <formula>AO29</formula>
    </cfRule>
  </conditionalFormatting>
  <conditionalFormatting sqref="AP31">
    <cfRule type="expression" dxfId="3" priority="796">
      <formula>AND(AP31&gt;0,AP31&lt;30)</formula>
    </cfRule>
    <cfRule type="cellIs" dxfId="1" priority="797" operator="greaterThan">
      <formula>AO31</formula>
    </cfRule>
  </conditionalFormatting>
  <conditionalFormatting sqref="AP33">
    <cfRule type="expression" dxfId="3" priority="802">
      <formula>AND(AP33&gt;0,AP33&lt;18)</formula>
    </cfRule>
    <cfRule type="cellIs" dxfId="1" priority="803" operator="greaterThan">
      <formula>AO33</formula>
    </cfRule>
  </conditionalFormatting>
  <conditionalFormatting sqref="AP36">
    <cfRule type="expression" dxfId="3" priority="808">
      <formula>AND(AP36&gt;0,AP36&lt;50)</formula>
    </cfRule>
    <cfRule type="cellIs" dxfId="1" priority="809" operator="greaterThan">
      <formula>AO36</formula>
    </cfRule>
  </conditionalFormatting>
  <conditionalFormatting sqref="AP37">
    <cfRule type="expression" dxfId="3" priority="814">
      <formula>AND(AP37&gt;0,AP37&lt;20)</formula>
    </cfRule>
    <cfRule type="cellIs" dxfId="1" priority="815" operator="greaterThan">
      <formula>AO37</formula>
    </cfRule>
  </conditionalFormatting>
  <conditionalFormatting sqref="AP9">
    <cfRule type="expression" dxfId="3" priority="748">
      <formula>AND(AP9&gt;0,AP9&lt;20)</formula>
    </cfRule>
    <cfRule type="cellIs" dxfId="1" priority="749" operator="greaterThan">
      <formula>AO9</formula>
    </cfRule>
  </conditionalFormatting>
  <conditionalFormatting sqref="AQ12">
    <cfRule type="cellIs" dxfId="4" priority="757" operator="lessThanOrEqual">
      <formula>I12</formula>
    </cfRule>
  </conditionalFormatting>
  <conditionalFormatting sqref="AQ21">
    <cfRule type="cellIs" dxfId="4" priority="763" operator="lessThanOrEqual">
      <formula>I21</formula>
    </cfRule>
  </conditionalFormatting>
  <conditionalFormatting sqref="AQ22">
    <cfRule type="cellIs" dxfId="4" priority="769" operator="lessThanOrEqual">
      <formula>I22</formula>
    </cfRule>
  </conditionalFormatting>
  <conditionalFormatting sqref="AQ23">
    <cfRule type="cellIs" dxfId="4" priority="775" operator="lessThanOrEqual">
      <formula>I23</formula>
    </cfRule>
  </conditionalFormatting>
  <conditionalFormatting sqref="AQ25">
    <cfRule type="cellIs" dxfId="4" priority="781" operator="lessThanOrEqual">
      <formula>I25</formula>
    </cfRule>
  </conditionalFormatting>
  <conditionalFormatting sqref="AQ27">
    <cfRule type="cellIs" dxfId="4" priority="787" operator="lessThanOrEqual">
      <formula>I27</formula>
    </cfRule>
  </conditionalFormatting>
  <conditionalFormatting sqref="AQ29">
    <cfRule type="cellIs" dxfId="4" priority="793" operator="lessThanOrEqual">
      <formula>I29</formula>
    </cfRule>
  </conditionalFormatting>
  <conditionalFormatting sqref="AQ31">
    <cfRule type="cellIs" dxfId="4" priority="799" operator="lessThanOrEqual">
      <formula>I31</formula>
    </cfRule>
  </conditionalFormatting>
  <conditionalFormatting sqref="AQ33">
    <cfRule type="cellIs" dxfId="4" priority="805" operator="lessThanOrEqual">
      <formula>I33</formula>
    </cfRule>
  </conditionalFormatting>
  <conditionalFormatting sqref="AQ36">
    <cfRule type="cellIs" dxfId="4" priority="811" operator="lessThanOrEqual">
      <formula>I36</formula>
    </cfRule>
  </conditionalFormatting>
  <conditionalFormatting sqref="AQ37">
    <cfRule type="cellIs" dxfId="4" priority="817" operator="lessThanOrEqual">
      <formula>I37</formula>
    </cfRule>
  </conditionalFormatting>
  <conditionalFormatting sqref="AQ9">
    <cfRule type="cellIs" dxfId="4" priority="751" operator="lessThanOrEqual">
      <formula>I9</formula>
    </cfRule>
  </conditionalFormatting>
  <conditionalFormatting sqref="AR12">
    <cfRule type="cellIs" dxfId="4" priority="756" operator="lessThanOrEqual">
      <formula>J12</formula>
    </cfRule>
  </conditionalFormatting>
  <conditionalFormatting sqref="AR21">
    <cfRule type="cellIs" dxfId="4" priority="762" operator="lessThanOrEqual">
      <formula>J21</formula>
    </cfRule>
  </conditionalFormatting>
  <conditionalFormatting sqref="AR22">
    <cfRule type="cellIs" dxfId="4" priority="768" operator="lessThanOrEqual">
      <formula>J22</formula>
    </cfRule>
  </conditionalFormatting>
  <conditionalFormatting sqref="AR23">
    <cfRule type="cellIs" dxfId="4" priority="774" operator="lessThanOrEqual">
      <formula>J23</formula>
    </cfRule>
  </conditionalFormatting>
  <conditionalFormatting sqref="AR25">
    <cfRule type="cellIs" dxfId="4" priority="780" operator="lessThanOrEqual">
      <formula>J25</formula>
    </cfRule>
  </conditionalFormatting>
  <conditionalFormatting sqref="AR27">
    <cfRule type="cellIs" dxfId="4" priority="786" operator="lessThanOrEqual">
      <formula>J27</formula>
    </cfRule>
  </conditionalFormatting>
  <conditionalFormatting sqref="AR29">
    <cfRule type="cellIs" dxfId="4" priority="792" operator="lessThanOrEqual">
      <formula>J29</formula>
    </cfRule>
  </conditionalFormatting>
  <conditionalFormatting sqref="AR31">
    <cfRule type="cellIs" dxfId="4" priority="798" operator="lessThanOrEqual">
      <formula>J31</formula>
    </cfRule>
  </conditionalFormatting>
  <conditionalFormatting sqref="AR33">
    <cfRule type="cellIs" dxfId="4" priority="804" operator="lessThanOrEqual">
      <formula>J33</formula>
    </cfRule>
  </conditionalFormatting>
  <conditionalFormatting sqref="AR36">
    <cfRule type="cellIs" dxfId="4" priority="810" operator="lessThanOrEqual">
      <formula>J36</formula>
    </cfRule>
  </conditionalFormatting>
  <conditionalFormatting sqref="AR37">
    <cfRule type="cellIs" dxfId="4" priority="816" operator="lessThanOrEqual">
      <formula>J37</formula>
    </cfRule>
  </conditionalFormatting>
  <conditionalFormatting sqref="AR9">
    <cfRule type="cellIs" dxfId="4" priority="750" operator="lessThanOrEqual">
      <formula>J9</formula>
    </cfRule>
  </conditionalFormatting>
  <conditionalFormatting sqref="AT14">
    <cfRule type="cellIs" dxfId="1" priority="818" operator="equal">
      <formula>0</formula>
    </cfRule>
    <cfRule type="cellIs" dxfId="2" priority="819" operator="lessThan">
      <formula>H14</formula>
    </cfRule>
  </conditionalFormatting>
  <conditionalFormatting sqref="AT15">
    <cfRule type="cellIs" dxfId="1" priority="824" operator="equal">
      <formula>0</formula>
    </cfRule>
    <cfRule type="cellIs" dxfId="2" priority="825" operator="lessThan">
      <formula>H15</formula>
    </cfRule>
  </conditionalFormatting>
  <conditionalFormatting sqref="AT36">
    <cfRule type="cellIs" dxfId="1" priority="830" operator="equal">
      <formula>0</formula>
    </cfRule>
    <cfRule type="cellIs" dxfId="2" priority="831" operator="lessThan">
      <formula>H36</formula>
    </cfRule>
  </conditionalFormatting>
  <conditionalFormatting sqref="AT37">
    <cfRule type="cellIs" dxfId="1" priority="836" operator="equal">
      <formula>0</formula>
    </cfRule>
    <cfRule type="cellIs" dxfId="2" priority="837" operator="lessThan">
      <formula>H37</formula>
    </cfRule>
  </conditionalFormatting>
  <conditionalFormatting sqref="AU14">
    <cfRule type="expression" dxfId="3" priority="820">
      <formula>AND(AU14&gt;0,AU14&lt;5)</formula>
    </cfRule>
    <cfRule type="cellIs" dxfId="1" priority="821" operator="greaterThan">
      <formula>AT14</formula>
    </cfRule>
  </conditionalFormatting>
  <conditionalFormatting sqref="AU15">
    <cfRule type="expression" dxfId="3" priority="826">
      <formula>AND(AU15&gt;0,AU15&lt;5)</formula>
    </cfRule>
    <cfRule type="cellIs" dxfId="1" priority="827" operator="greaterThan">
      <formula>AT15</formula>
    </cfRule>
  </conditionalFormatting>
  <conditionalFormatting sqref="AU36">
    <cfRule type="expression" dxfId="3" priority="832">
      <formula>AND(AU36&gt;0,AU36&lt;5)</formula>
    </cfRule>
    <cfRule type="cellIs" dxfId="1" priority="833" operator="greaterThan">
      <formula>AT36</formula>
    </cfRule>
  </conditionalFormatting>
  <conditionalFormatting sqref="AU37">
    <cfRule type="cellIs" dxfId="1" priority="838" operator="greaterThan">
      <formula>AT37</formula>
    </cfRule>
  </conditionalFormatting>
  <conditionalFormatting sqref="AV14">
    <cfRule type="cellIs" dxfId="4" priority="823" operator="lessThanOrEqual">
      <formula>I14</formula>
    </cfRule>
  </conditionalFormatting>
  <conditionalFormatting sqref="AV15">
    <cfRule type="cellIs" dxfId="4" priority="829" operator="lessThanOrEqual">
      <formula>I15</formula>
    </cfRule>
  </conditionalFormatting>
  <conditionalFormatting sqref="AV36">
    <cfRule type="cellIs" dxfId="4" priority="835" operator="lessThanOrEqual">
      <formula>I36</formula>
    </cfRule>
  </conditionalFormatting>
  <conditionalFormatting sqref="AV37">
    <cfRule type="cellIs" dxfId="4" priority="840" operator="lessThanOrEqual">
      <formula>I37</formula>
    </cfRule>
  </conditionalFormatting>
  <conditionalFormatting sqref="AW14">
    <cfRule type="cellIs" dxfId="4" priority="822" operator="lessThanOrEqual">
      <formula>J14</formula>
    </cfRule>
  </conditionalFormatting>
  <conditionalFormatting sqref="AW15">
    <cfRule type="cellIs" dxfId="4" priority="828" operator="lessThanOrEqual">
      <formula>J15</formula>
    </cfRule>
  </conditionalFormatting>
  <conditionalFormatting sqref="AW36">
    <cfRule type="cellIs" dxfId="4" priority="834" operator="lessThanOrEqual">
      <formula>J36</formula>
    </cfRule>
  </conditionalFormatting>
  <conditionalFormatting sqref="AW37">
    <cfRule type="cellIs" dxfId="4" priority="839" operator="lessThanOrEqual">
      <formula>J37</formula>
    </cfRule>
  </conditionalFormatting>
  <conditionalFormatting sqref="H10">
    <cfRule type="expression" dxfId="0" priority="13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dxfId="0" priority="17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dxfId="0" priority="21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dxfId="0" priority="25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dxfId="0" priority="29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dxfId="0" priority="33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dxfId="0" priority="37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dxfId="0" priority="41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dxfId="0" priority="45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dxfId="0" priority="49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dxfId="0" priority="53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dxfId="0" priority="57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dxfId="0" priority="61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dxfId="0" priority="65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dxfId="0" priority="69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dxfId="0" priority="73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dxfId="0" priority="77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dxfId="0" priority="81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dxfId="0" priority="85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dxfId="0" priority="89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dxfId="0" priority="93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dxfId="0" priority="97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dxfId="0" priority="101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dxfId="0" priority="105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4">
    <cfRule type="expression" dxfId="0" priority="109">
      <formula>AND(ISBLANK(G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5">
    <cfRule type="expression" dxfId="0" priority="113">
      <formula>AND(ISBLANK(G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6">
    <cfRule type="expression" dxfId="0" priority="117">
      <formula>AND(ISBLANK(G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7">
    <cfRule type="expression" dxfId="0" priority="121">
      <formula>AND(ISBLANK(G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8">
    <cfRule type="expression" dxfId="0" priority="125">
      <formula>AND(ISBLANK(G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9">
    <cfRule type="expression" dxfId="0" priority="129">
      <formula>AND(ISBLANK(G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0">
    <cfRule type="expression" dxfId="0" priority="133">
      <formula>AND(ISBLANK(G40)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dxfId="0" priority="1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dxfId="0" priority="5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dxfId="0" priority="9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dxfId="1" priority="152" operator="equal">
      <formula>0</formula>
    </cfRule>
    <cfRule type="cellIs" dxfId="2" priority="153" operator="lessThan">
      <formula>H10</formula>
    </cfRule>
  </conditionalFormatting>
  <conditionalFormatting sqref="P11">
    <cfRule type="cellIs" dxfId="1" priority="157" operator="equal">
      <formula>0</formula>
    </cfRule>
    <cfRule type="cellIs" dxfId="2" priority="158" operator="lessThan">
      <formula>H11</formula>
    </cfRule>
  </conditionalFormatting>
  <conditionalFormatting sqref="P12">
    <cfRule type="cellIs" dxfId="1" priority="162" operator="equal">
      <formula>0</formula>
    </cfRule>
    <cfRule type="cellIs" dxfId="2" priority="163" operator="lessThan">
      <formula>H12</formula>
    </cfRule>
  </conditionalFormatting>
  <conditionalFormatting sqref="P13">
    <cfRule type="cellIs" dxfId="1" priority="167" operator="equal">
      <formula>0</formula>
    </cfRule>
    <cfRule type="cellIs" dxfId="2" priority="168" operator="lessThan">
      <formula>H13</formula>
    </cfRule>
  </conditionalFormatting>
  <conditionalFormatting sqref="P14">
    <cfRule type="cellIs" dxfId="1" priority="172" operator="equal">
      <formula>0</formula>
    </cfRule>
    <cfRule type="cellIs" dxfId="2" priority="173" operator="lessThan">
      <formula>H14</formula>
    </cfRule>
  </conditionalFormatting>
  <conditionalFormatting sqref="P15">
    <cfRule type="cellIs" dxfId="1" priority="177" operator="equal">
      <formula>0</formula>
    </cfRule>
    <cfRule type="cellIs" dxfId="2" priority="178" operator="lessThan">
      <formula>H15</formula>
    </cfRule>
  </conditionalFormatting>
  <conditionalFormatting sqref="P21">
    <cfRule type="cellIs" dxfId="1" priority="182" operator="equal">
      <formula>0</formula>
    </cfRule>
    <cfRule type="cellIs" dxfId="2" priority="183" operator="lessThan">
      <formula>H21</formula>
    </cfRule>
  </conditionalFormatting>
  <conditionalFormatting sqref="P22">
    <cfRule type="cellIs" dxfId="1" priority="187" operator="equal">
      <formula>0</formula>
    </cfRule>
    <cfRule type="cellIs" dxfId="2" priority="188" operator="lessThan">
      <formula>H22</formula>
    </cfRule>
  </conditionalFormatting>
  <conditionalFormatting sqref="P23">
    <cfRule type="cellIs" dxfId="1" priority="192" operator="equal">
      <formula>0</formula>
    </cfRule>
    <cfRule type="cellIs" dxfId="2" priority="193" operator="lessThan">
      <formula>H23</formula>
    </cfRule>
  </conditionalFormatting>
  <conditionalFormatting sqref="P24">
    <cfRule type="cellIs" dxfId="1" priority="197" operator="equal">
      <formula>0</formula>
    </cfRule>
    <cfRule type="cellIs" dxfId="2" priority="198" operator="lessThan">
      <formula>H24</formula>
    </cfRule>
  </conditionalFormatting>
  <conditionalFormatting sqref="P25">
    <cfRule type="cellIs" dxfId="1" priority="202" operator="equal">
      <formula>0</formula>
    </cfRule>
    <cfRule type="cellIs" dxfId="2" priority="203" operator="lessThan">
      <formula>H25</formula>
    </cfRule>
  </conditionalFormatting>
  <conditionalFormatting sqref="P26">
    <cfRule type="cellIs" dxfId="1" priority="207" operator="equal">
      <formula>0</formula>
    </cfRule>
    <cfRule type="cellIs" dxfId="2" priority="208" operator="lessThan">
      <formula>H26</formula>
    </cfRule>
  </conditionalFormatting>
  <conditionalFormatting sqref="P27">
    <cfRule type="cellIs" dxfId="1" priority="212" operator="equal">
      <formula>0</formula>
    </cfRule>
    <cfRule type="cellIs" dxfId="2" priority="213" operator="lessThan">
      <formula>H27</formula>
    </cfRule>
  </conditionalFormatting>
  <conditionalFormatting sqref="P28">
    <cfRule type="cellIs" dxfId="1" priority="217" operator="equal">
      <formula>0</formula>
    </cfRule>
    <cfRule type="cellIs" dxfId="2" priority="218" operator="lessThan">
      <formula>H28</formula>
    </cfRule>
  </conditionalFormatting>
  <conditionalFormatting sqref="P29">
    <cfRule type="cellIs" dxfId="1" priority="222" operator="equal">
      <formula>0</formula>
    </cfRule>
    <cfRule type="cellIs" dxfId="2" priority="223" operator="lessThan">
      <formula>H29</formula>
    </cfRule>
  </conditionalFormatting>
  <conditionalFormatting sqref="P30">
    <cfRule type="cellIs" dxfId="1" priority="227" operator="equal">
      <formula>0</formula>
    </cfRule>
    <cfRule type="cellIs" dxfId="2" priority="228" operator="lessThan">
      <formula>H30</formula>
    </cfRule>
  </conditionalFormatting>
  <conditionalFormatting sqref="P31">
    <cfRule type="cellIs" dxfId="1" priority="232" operator="equal">
      <formula>0</formula>
    </cfRule>
    <cfRule type="cellIs" dxfId="2" priority="233" operator="lessThan">
      <formula>H31</formula>
    </cfRule>
  </conditionalFormatting>
  <conditionalFormatting sqref="P32">
    <cfRule type="cellIs" dxfId="1" priority="237" operator="equal">
      <formula>0</formula>
    </cfRule>
    <cfRule type="cellIs" dxfId="2" priority="238" operator="lessThan">
      <formula>H32</formula>
    </cfRule>
  </conditionalFormatting>
  <conditionalFormatting sqref="P33">
    <cfRule type="cellIs" dxfId="1" priority="242" operator="equal">
      <formula>0</formula>
    </cfRule>
    <cfRule type="cellIs" dxfId="2" priority="243" operator="lessThan">
      <formula>H33</formula>
    </cfRule>
  </conditionalFormatting>
  <conditionalFormatting sqref="P34">
    <cfRule type="cellIs" dxfId="1" priority="247" operator="equal">
      <formula>0</formula>
    </cfRule>
    <cfRule type="cellIs" dxfId="2" priority="248" operator="lessThan">
      <formula>H34</formula>
    </cfRule>
  </conditionalFormatting>
  <conditionalFormatting sqref="P35">
    <cfRule type="cellIs" dxfId="1" priority="253" operator="equal">
      <formula>0</formula>
    </cfRule>
    <cfRule type="cellIs" dxfId="2" priority="254" operator="lessThan">
      <formula>H35</formula>
    </cfRule>
  </conditionalFormatting>
  <conditionalFormatting sqref="P36">
    <cfRule type="cellIs" dxfId="1" priority="258" operator="equal">
      <formula>0</formula>
    </cfRule>
    <cfRule type="cellIs" dxfId="2" priority="259" operator="lessThan">
      <formula>H36</formula>
    </cfRule>
  </conditionalFormatting>
  <conditionalFormatting sqref="P37">
    <cfRule type="cellIs" dxfId="1" priority="263" operator="equal">
      <formula>0</formula>
    </cfRule>
    <cfRule type="cellIs" dxfId="2" priority="264" operator="lessThan">
      <formula>H37</formula>
    </cfRule>
  </conditionalFormatting>
  <conditionalFormatting sqref="P39">
    <cfRule type="cellIs" dxfId="1" priority="268" operator="equal">
      <formula>0</formula>
    </cfRule>
    <cfRule type="cellIs" dxfId="2" priority="269" operator="lessThan">
      <formula>H39</formula>
    </cfRule>
  </conditionalFormatting>
  <conditionalFormatting sqref="P40">
    <cfRule type="cellIs" dxfId="1" priority="273" operator="equal">
      <formula>0</formula>
    </cfRule>
    <cfRule type="cellIs" dxfId="2" priority="274" operator="lessThan">
      <formula>H40</formula>
    </cfRule>
  </conditionalFormatting>
  <conditionalFormatting sqref="P7">
    <cfRule type="cellIs" dxfId="1" priority="137" operator="equal">
      <formula>0</formula>
    </cfRule>
    <cfRule type="cellIs" dxfId="2" priority="138" operator="lessThan">
      <formula>H7</formula>
    </cfRule>
  </conditionalFormatting>
  <conditionalFormatting sqref="P8">
    <cfRule type="cellIs" dxfId="1" priority="142" operator="equal">
      <formula>0</formula>
    </cfRule>
    <cfRule type="cellIs" dxfId="2" priority="143" operator="lessThan">
      <formula>H8</formula>
    </cfRule>
  </conditionalFormatting>
  <conditionalFormatting sqref="P9">
    <cfRule type="cellIs" dxfId="1" priority="147" operator="equal">
      <formula>0</formula>
    </cfRule>
    <cfRule type="cellIs" dxfId="2" priority="148" operator="lessThan">
      <formula>H9</formula>
    </cfRule>
  </conditionalFormatting>
  <conditionalFormatting sqref="Q10">
    <cfRule type="cellIs" dxfId="1" priority="154" operator="greaterThan">
      <formula>P10</formula>
    </cfRule>
  </conditionalFormatting>
  <conditionalFormatting sqref="Q11">
    <cfRule type="cellIs" dxfId="1" priority="159" operator="greaterThan">
      <formula>P11</formula>
    </cfRule>
  </conditionalFormatting>
  <conditionalFormatting sqref="Q12">
    <cfRule type="cellIs" dxfId="1" priority="164" operator="greaterThan">
      <formula>P12</formula>
    </cfRule>
  </conditionalFormatting>
  <conditionalFormatting sqref="Q13">
    <cfRule type="cellIs" dxfId="1" priority="169" operator="greaterThan">
      <formula>P13</formula>
    </cfRule>
  </conditionalFormatting>
  <conditionalFormatting sqref="Q14">
    <cfRule type="cellIs" dxfId="1" priority="174" operator="greaterThan">
      <formula>P14</formula>
    </cfRule>
  </conditionalFormatting>
  <conditionalFormatting sqref="Q15">
    <cfRule type="cellIs" dxfId="1" priority="179" operator="greaterThan">
      <formula>P15</formula>
    </cfRule>
  </conditionalFormatting>
  <conditionalFormatting sqref="Q21">
    <cfRule type="cellIs" dxfId="1" priority="184" operator="greaterThan">
      <formula>P21</formula>
    </cfRule>
  </conditionalFormatting>
  <conditionalFormatting sqref="Q22">
    <cfRule type="cellIs" dxfId="1" priority="189" operator="greaterThan">
      <formula>P22</formula>
    </cfRule>
  </conditionalFormatting>
  <conditionalFormatting sqref="Q23">
    <cfRule type="cellIs" dxfId="1" priority="194" operator="greaterThan">
      <formula>P23</formula>
    </cfRule>
  </conditionalFormatting>
  <conditionalFormatting sqref="Q24">
    <cfRule type="cellIs" dxfId="1" priority="199" operator="greaterThan">
      <formula>P24</formula>
    </cfRule>
  </conditionalFormatting>
  <conditionalFormatting sqref="Q25">
    <cfRule type="cellIs" dxfId="1" priority="204" operator="greaterThan">
      <formula>P25</formula>
    </cfRule>
  </conditionalFormatting>
  <conditionalFormatting sqref="Q26">
    <cfRule type="cellIs" dxfId="1" priority="209" operator="greaterThan">
      <formula>P26</formula>
    </cfRule>
  </conditionalFormatting>
  <conditionalFormatting sqref="Q27">
    <cfRule type="cellIs" dxfId="1" priority="214" operator="greaterThan">
      <formula>P27</formula>
    </cfRule>
  </conditionalFormatting>
  <conditionalFormatting sqref="Q28">
    <cfRule type="cellIs" dxfId="1" priority="219" operator="greaterThan">
      <formula>P28</formula>
    </cfRule>
  </conditionalFormatting>
  <conditionalFormatting sqref="Q29">
    <cfRule type="cellIs" dxfId="1" priority="224" operator="greaterThan">
      <formula>P29</formula>
    </cfRule>
  </conditionalFormatting>
  <conditionalFormatting sqref="Q30">
    <cfRule type="cellIs" dxfId="1" priority="229" operator="greaterThan">
      <formula>P30</formula>
    </cfRule>
  </conditionalFormatting>
  <conditionalFormatting sqref="Q31">
    <cfRule type="cellIs" dxfId="1" priority="234" operator="greaterThan">
      <formula>P31</formula>
    </cfRule>
  </conditionalFormatting>
  <conditionalFormatting sqref="Q32">
    <cfRule type="cellIs" dxfId="1" priority="239" operator="greaterThan">
      <formula>P32</formula>
    </cfRule>
  </conditionalFormatting>
  <conditionalFormatting sqref="Q33">
    <cfRule type="cellIs" dxfId="1" priority="244" operator="greaterThan">
      <formula>P33</formula>
    </cfRule>
  </conditionalFormatting>
  <conditionalFormatting sqref="Q34">
    <cfRule type="expression" dxfId="3" priority="249">
      <formula>AND(Q34&gt;0,Q34&lt;2000)</formula>
    </cfRule>
    <cfRule type="cellIs" dxfId="1" priority="250" operator="greaterThan">
      <formula>P34</formula>
    </cfRule>
  </conditionalFormatting>
  <conditionalFormatting sqref="Q35">
    <cfRule type="cellIs" dxfId="1" priority="255" operator="greaterThan">
      <formula>P35</formula>
    </cfRule>
  </conditionalFormatting>
  <conditionalFormatting sqref="Q36">
    <cfRule type="cellIs" dxfId="1" priority="260" operator="greaterThan">
      <formula>P36</formula>
    </cfRule>
  </conditionalFormatting>
  <conditionalFormatting sqref="Q37">
    <cfRule type="cellIs" dxfId="1" priority="265" operator="greaterThan">
      <formula>P37</formula>
    </cfRule>
  </conditionalFormatting>
  <conditionalFormatting sqref="Q39">
    <cfRule type="cellIs" dxfId="1" priority="270" operator="greaterThan">
      <formula>P39</formula>
    </cfRule>
  </conditionalFormatting>
  <conditionalFormatting sqref="Q40">
    <cfRule type="cellIs" dxfId="1" priority="275" operator="greaterThan">
      <formula>P40</formula>
    </cfRule>
  </conditionalFormatting>
  <conditionalFormatting sqref="Q7">
    <cfRule type="cellIs" dxfId="1" priority="139" operator="greaterThan">
      <formula>P7</formula>
    </cfRule>
  </conditionalFormatting>
  <conditionalFormatting sqref="Q8">
    <cfRule type="cellIs" dxfId="1" priority="144" operator="greaterThan">
      <formula>P8</formula>
    </cfRule>
  </conditionalFormatting>
  <conditionalFormatting sqref="Q9">
    <cfRule type="cellIs" dxfId="1" priority="149" operator="greaterThan">
      <formula>P9</formula>
    </cfRule>
  </conditionalFormatting>
  <conditionalFormatting sqref="R10">
    <cfRule type="cellIs" dxfId="4" priority="156" operator="lessThanOrEqual">
      <formula>I10</formula>
    </cfRule>
  </conditionalFormatting>
  <conditionalFormatting sqref="R11">
    <cfRule type="cellIs" dxfId="4" priority="161" operator="lessThanOrEqual">
      <formula>I11</formula>
    </cfRule>
  </conditionalFormatting>
  <conditionalFormatting sqref="R12">
    <cfRule type="cellIs" dxfId="4" priority="166" operator="lessThanOrEqual">
      <formula>I12</formula>
    </cfRule>
  </conditionalFormatting>
  <conditionalFormatting sqref="R13">
    <cfRule type="cellIs" dxfId="4" priority="171" operator="lessThanOrEqual">
      <formula>I13</formula>
    </cfRule>
  </conditionalFormatting>
  <conditionalFormatting sqref="R14">
    <cfRule type="cellIs" dxfId="4" priority="176" operator="lessThanOrEqual">
      <formula>I14</formula>
    </cfRule>
  </conditionalFormatting>
  <conditionalFormatting sqref="R15">
    <cfRule type="cellIs" dxfId="4" priority="181" operator="lessThanOrEqual">
      <formula>I15</formula>
    </cfRule>
  </conditionalFormatting>
  <conditionalFormatting sqref="R21">
    <cfRule type="cellIs" dxfId="4" priority="186" operator="lessThanOrEqual">
      <formula>I21</formula>
    </cfRule>
  </conditionalFormatting>
  <conditionalFormatting sqref="R22">
    <cfRule type="cellIs" dxfId="4" priority="191" operator="lessThanOrEqual">
      <formula>I22</formula>
    </cfRule>
  </conditionalFormatting>
  <conditionalFormatting sqref="R23">
    <cfRule type="cellIs" dxfId="4" priority="196" operator="lessThanOrEqual">
      <formula>I23</formula>
    </cfRule>
  </conditionalFormatting>
  <conditionalFormatting sqref="R24">
    <cfRule type="cellIs" dxfId="4" priority="201" operator="lessThanOrEqual">
      <formula>I24</formula>
    </cfRule>
  </conditionalFormatting>
  <conditionalFormatting sqref="R25">
    <cfRule type="cellIs" dxfId="4" priority="206" operator="lessThanOrEqual">
      <formula>I25</formula>
    </cfRule>
  </conditionalFormatting>
  <conditionalFormatting sqref="R26">
    <cfRule type="cellIs" dxfId="4" priority="211" operator="lessThanOrEqual">
      <formula>I26</formula>
    </cfRule>
  </conditionalFormatting>
  <conditionalFormatting sqref="R27">
    <cfRule type="cellIs" dxfId="4" priority="216" operator="lessThanOrEqual">
      <formula>I27</formula>
    </cfRule>
  </conditionalFormatting>
  <conditionalFormatting sqref="R28">
    <cfRule type="cellIs" dxfId="4" priority="221" operator="lessThanOrEqual">
      <formula>I28</formula>
    </cfRule>
  </conditionalFormatting>
  <conditionalFormatting sqref="R29">
    <cfRule type="cellIs" dxfId="4" priority="226" operator="lessThanOrEqual">
      <formula>I29</formula>
    </cfRule>
  </conditionalFormatting>
  <conditionalFormatting sqref="R30">
    <cfRule type="cellIs" dxfId="4" priority="231" operator="lessThanOrEqual">
      <formula>I30</formula>
    </cfRule>
  </conditionalFormatting>
  <conditionalFormatting sqref="R31">
    <cfRule type="cellIs" dxfId="4" priority="236" operator="lessThanOrEqual">
      <formula>I31</formula>
    </cfRule>
  </conditionalFormatting>
  <conditionalFormatting sqref="R32">
    <cfRule type="cellIs" dxfId="4" priority="241" operator="lessThanOrEqual">
      <formula>I32</formula>
    </cfRule>
  </conditionalFormatting>
  <conditionalFormatting sqref="R33">
    <cfRule type="cellIs" dxfId="4" priority="246" operator="lessThanOrEqual">
      <formula>I33</formula>
    </cfRule>
  </conditionalFormatting>
  <conditionalFormatting sqref="R34">
    <cfRule type="cellIs" dxfId="4" priority="252" operator="lessThanOrEqual">
      <formula>I34</formula>
    </cfRule>
  </conditionalFormatting>
  <conditionalFormatting sqref="R35">
    <cfRule type="cellIs" dxfId="4" priority="257" operator="lessThanOrEqual">
      <formula>I35</formula>
    </cfRule>
  </conditionalFormatting>
  <conditionalFormatting sqref="R36">
    <cfRule type="cellIs" dxfId="4" priority="262" operator="lessThanOrEqual">
      <formula>I36</formula>
    </cfRule>
  </conditionalFormatting>
  <conditionalFormatting sqref="R37">
    <cfRule type="cellIs" dxfId="4" priority="267" operator="lessThanOrEqual">
      <formula>I37</formula>
    </cfRule>
  </conditionalFormatting>
  <conditionalFormatting sqref="R39">
    <cfRule type="cellIs" dxfId="4" priority="272" operator="lessThanOrEqual">
      <formula>I39</formula>
    </cfRule>
  </conditionalFormatting>
  <conditionalFormatting sqref="R40">
    <cfRule type="cellIs" dxfId="4" priority="277" operator="lessThanOrEqual">
      <formula>I40</formula>
    </cfRule>
  </conditionalFormatting>
  <conditionalFormatting sqref="R7">
    <cfRule type="cellIs" dxfId="4" priority="141" operator="lessThanOrEqual">
      <formula>I7</formula>
    </cfRule>
  </conditionalFormatting>
  <conditionalFormatting sqref="R8">
    <cfRule type="cellIs" dxfId="4" priority="146" operator="lessThanOrEqual">
      <formula>I8</formula>
    </cfRule>
  </conditionalFormatting>
  <conditionalFormatting sqref="R9">
    <cfRule type="cellIs" dxfId="4" priority="151" operator="lessThanOrEqual">
      <formula>I9</formula>
    </cfRule>
  </conditionalFormatting>
  <conditionalFormatting sqref="S10">
    <cfRule type="cellIs" dxfId="4" priority="155" operator="lessThanOrEqual">
      <formula>J10</formula>
    </cfRule>
  </conditionalFormatting>
  <conditionalFormatting sqref="S11">
    <cfRule type="cellIs" dxfId="4" priority="160" operator="lessThanOrEqual">
      <formula>J11</formula>
    </cfRule>
  </conditionalFormatting>
  <conditionalFormatting sqref="S12">
    <cfRule type="cellIs" dxfId="4" priority="165" operator="lessThanOrEqual">
      <formula>J12</formula>
    </cfRule>
  </conditionalFormatting>
  <conditionalFormatting sqref="S13">
    <cfRule type="cellIs" dxfId="4" priority="170" operator="lessThanOrEqual">
      <formula>J13</formula>
    </cfRule>
  </conditionalFormatting>
  <conditionalFormatting sqref="S14">
    <cfRule type="cellIs" dxfId="4" priority="175" operator="lessThanOrEqual">
      <formula>J14</formula>
    </cfRule>
  </conditionalFormatting>
  <conditionalFormatting sqref="S15">
    <cfRule type="cellIs" dxfId="4" priority="180" operator="lessThanOrEqual">
      <formula>J15</formula>
    </cfRule>
  </conditionalFormatting>
  <conditionalFormatting sqref="S21">
    <cfRule type="cellIs" dxfId="4" priority="185" operator="lessThanOrEqual">
      <formula>J21</formula>
    </cfRule>
  </conditionalFormatting>
  <conditionalFormatting sqref="S22">
    <cfRule type="cellIs" dxfId="4" priority="190" operator="lessThanOrEqual">
      <formula>J22</formula>
    </cfRule>
  </conditionalFormatting>
  <conditionalFormatting sqref="S23">
    <cfRule type="cellIs" dxfId="4" priority="195" operator="lessThanOrEqual">
      <formula>J23</formula>
    </cfRule>
  </conditionalFormatting>
  <conditionalFormatting sqref="S24">
    <cfRule type="cellIs" dxfId="4" priority="200" operator="lessThanOrEqual">
      <formula>J24</formula>
    </cfRule>
  </conditionalFormatting>
  <conditionalFormatting sqref="S25">
    <cfRule type="cellIs" dxfId="4" priority="205" operator="lessThanOrEqual">
      <formula>J25</formula>
    </cfRule>
  </conditionalFormatting>
  <conditionalFormatting sqref="S26">
    <cfRule type="cellIs" dxfId="4" priority="210" operator="lessThanOrEqual">
      <formula>J26</formula>
    </cfRule>
  </conditionalFormatting>
  <conditionalFormatting sqref="S27">
    <cfRule type="cellIs" dxfId="4" priority="215" operator="lessThanOrEqual">
      <formula>J27</formula>
    </cfRule>
  </conditionalFormatting>
  <conditionalFormatting sqref="S28">
    <cfRule type="cellIs" dxfId="4" priority="220" operator="lessThanOrEqual">
      <formula>J28</formula>
    </cfRule>
  </conditionalFormatting>
  <conditionalFormatting sqref="S29">
    <cfRule type="cellIs" dxfId="4" priority="225" operator="lessThanOrEqual">
      <formula>J29</formula>
    </cfRule>
  </conditionalFormatting>
  <conditionalFormatting sqref="S30">
    <cfRule type="cellIs" dxfId="4" priority="230" operator="lessThanOrEqual">
      <formula>J30</formula>
    </cfRule>
  </conditionalFormatting>
  <conditionalFormatting sqref="S31">
    <cfRule type="cellIs" dxfId="4" priority="235" operator="lessThanOrEqual">
      <formula>J31</formula>
    </cfRule>
  </conditionalFormatting>
  <conditionalFormatting sqref="S32">
    <cfRule type="cellIs" dxfId="4" priority="240" operator="lessThanOrEqual">
      <formula>J32</formula>
    </cfRule>
  </conditionalFormatting>
  <conditionalFormatting sqref="S33">
    <cfRule type="cellIs" dxfId="4" priority="245" operator="lessThanOrEqual">
      <formula>J33</formula>
    </cfRule>
  </conditionalFormatting>
  <conditionalFormatting sqref="S34">
    <cfRule type="cellIs" dxfId="4" priority="251" operator="lessThanOrEqual">
      <formula>J34</formula>
    </cfRule>
  </conditionalFormatting>
  <conditionalFormatting sqref="S35">
    <cfRule type="cellIs" dxfId="4" priority="256" operator="lessThanOrEqual">
      <formula>J35</formula>
    </cfRule>
  </conditionalFormatting>
  <conditionalFormatting sqref="S36">
    <cfRule type="cellIs" dxfId="4" priority="261" operator="lessThanOrEqual">
      <formula>J36</formula>
    </cfRule>
  </conditionalFormatting>
  <conditionalFormatting sqref="S37">
    <cfRule type="cellIs" dxfId="4" priority="266" operator="lessThanOrEqual">
      <formula>J37</formula>
    </cfRule>
  </conditionalFormatting>
  <conditionalFormatting sqref="S39">
    <cfRule type="cellIs" dxfId="4" priority="271" operator="lessThanOrEqual">
      <formula>J39</formula>
    </cfRule>
  </conditionalFormatting>
  <conditionalFormatting sqref="S40">
    <cfRule type="cellIs" dxfId="4" priority="276" operator="lessThanOrEqual">
      <formula>J40</formula>
    </cfRule>
  </conditionalFormatting>
  <conditionalFormatting sqref="S7">
    <cfRule type="cellIs" dxfId="4" priority="140" operator="lessThanOrEqual">
      <formula>J7</formula>
    </cfRule>
  </conditionalFormatting>
  <conditionalFormatting sqref="S8">
    <cfRule type="cellIs" dxfId="4" priority="145" operator="lessThanOrEqual">
      <formula>J8</formula>
    </cfRule>
  </conditionalFormatting>
  <conditionalFormatting sqref="S9">
    <cfRule type="cellIs" dxfId="4" priority="150" operator="lessThanOrEqual">
      <formula>J9</formula>
    </cfRule>
  </conditionalFormatting>
  <conditionalFormatting sqref="U10">
    <cfRule type="cellIs" dxfId="1" priority="296" operator="equal">
      <formula>0</formula>
    </cfRule>
    <cfRule type="cellIs" dxfId="2" priority="297" operator="lessThan">
      <formula>H10</formula>
    </cfRule>
  </conditionalFormatting>
  <conditionalFormatting sqref="U11">
    <cfRule type="cellIs" dxfId="1" priority="302" operator="equal">
      <formula>0</formula>
    </cfRule>
    <cfRule type="cellIs" dxfId="2" priority="303" operator="lessThan">
      <formula>H11</formula>
    </cfRule>
  </conditionalFormatting>
  <conditionalFormatting sqref="U12">
    <cfRule type="cellIs" dxfId="1" priority="308" operator="equal">
      <formula>0</formula>
    </cfRule>
    <cfRule type="cellIs" dxfId="2" priority="309" operator="lessThan">
      <formula>H12</formula>
    </cfRule>
  </conditionalFormatting>
  <conditionalFormatting sqref="U13">
    <cfRule type="cellIs" dxfId="1" priority="314" operator="equal">
      <formula>0</formula>
    </cfRule>
    <cfRule type="cellIs" dxfId="2" priority="315" operator="lessThan">
      <formula>H13</formula>
    </cfRule>
  </conditionalFormatting>
  <conditionalFormatting sqref="U14">
    <cfRule type="cellIs" dxfId="1" priority="320" operator="equal">
      <formula>0</formula>
    </cfRule>
    <cfRule type="cellIs" dxfId="2" priority="321" operator="lessThan">
      <formula>H14</formula>
    </cfRule>
  </conditionalFormatting>
  <conditionalFormatting sqref="U15">
    <cfRule type="cellIs" dxfId="1" priority="326" operator="equal">
      <formula>0</formula>
    </cfRule>
    <cfRule type="cellIs" dxfId="2" priority="327" operator="lessThan">
      <formula>H15</formula>
    </cfRule>
  </conditionalFormatting>
  <conditionalFormatting sqref="U21">
    <cfRule type="cellIs" dxfId="1" priority="331" operator="equal">
      <formula>0</formula>
    </cfRule>
    <cfRule type="cellIs" dxfId="2" priority="332" operator="lessThan">
      <formula>H21</formula>
    </cfRule>
  </conditionalFormatting>
  <conditionalFormatting sqref="U22">
    <cfRule type="cellIs" dxfId="1" priority="337" operator="equal">
      <formula>0</formula>
    </cfRule>
    <cfRule type="cellIs" dxfId="2" priority="338" operator="lessThan">
      <formula>H22</formula>
    </cfRule>
  </conditionalFormatting>
  <conditionalFormatting sqref="U23">
    <cfRule type="cellIs" dxfId="1" priority="343" operator="equal">
      <formula>0</formula>
    </cfRule>
    <cfRule type="cellIs" dxfId="2" priority="344" operator="lessThan">
      <formula>H23</formula>
    </cfRule>
  </conditionalFormatting>
  <conditionalFormatting sqref="U24">
    <cfRule type="cellIs" dxfId="1" priority="349" operator="equal">
      <formula>0</formula>
    </cfRule>
    <cfRule type="cellIs" dxfId="2" priority="350" operator="lessThan">
      <formula>H24</formula>
    </cfRule>
  </conditionalFormatting>
  <conditionalFormatting sqref="U25">
    <cfRule type="cellIs" dxfId="1" priority="355" operator="equal">
      <formula>0</formula>
    </cfRule>
    <cfRule type="cellIs" dxfId="2" priority="356" operator="lessThan">
      <formula>H25</formula>
    </cfRule>
  </conditionalFormatting>
  <conditionalFormatting sqref="U26">
    <cfRule type="cellIs" dxfId="1" priority="361" operator="equal">
      <formula>0</formula>
    </cfRule>
    <cfRule type="cellIs" dxfId="2" priority="362" operator="lessThan">
      <formula>H26</formula>
    </cfRule>
  </conditionalFormatting>
  <conditionalFormatting sqref="U27">
    <cfRule type="cellIs" dxfId="1" priority="367" operator="equal">
      <formula>0</formula>
    </cfRule>
    <cfRule type="cellIs" dxfId="2" priority="368" operator="lessThan">
      <formula>H27</formula>
    </cfRule>
  </conditionalFormatting>
  <conditionalFormatting sqref="U28">
    <cfRule type="cellIs" dxfId="1" priority="373" operator="equal">
      <formula>0</formula>
    </cfRule>
    <cfRule type="cellIs" dxfId="2" priority="374" operator="lessThan">
      <formula>H28</formula>
    </cfRule>
  </conditionalFormatting>
  <conditionalFormatting sqref="U29">
    <cfRule type="cellIs" dxfId="1" priority="379" operator="equal">
      <formula>0</formula>
    </cfRule>
    <cfRule type="cellIs" dxfId="2" priority="380" operator="lessThan">
      <formula>H29</formula>
    </cfRule>
  </conditionalFormatting>
  <conditionalFormatting sqref="U30">
    <cfRule type="cellIs" dxfId="1" priority="385" operator="equal">
      <formula>0</formula>
    </cfRule>
    <cfRule type="cellIs" dxfId="2" priority="386" operator="lessThan">
      <formula>H30</formula>
    </cfRule>
  </conditionalFormatting>
  <conditionalFormatting sqref="U31">
    <cfRule type="cellIs" dxfId="1" priority="391" operator="equal">
      <formula>0</formula>
    </cfRule>
    <cfRule type="cellIs" dxfId="2" priority="392" operator="lessThan">
      <formula>H31</formula>
    </cfRule>
  </conditionalFormatting>
  <conditionalFormatting sqref="U32">
    <cfRule type="cellIs" dxfId="1" priority="397" operator="equal">
      <formula>0</formula>
    </cfRule>
    <cfRule type="cellIs" dxfId="2" priority="398" operator="lessThan">
      <formula>H32</formula>
    </cfRule>
  </conditionalFormatting>
  <conditionalFormatting sqref="U33">
    <cfRule type="cellIs" dxfId="1" priority="402" operator="equal">
      <formula>0</formula>
    </cfRule>
    <cfRule type="cellIs" dxfId="2" priority="403" operator="lessThan">
      <formula>H33</formula>
    </cfRule>
  </conditionalFormatting>
  <conditionalFormatting sqref="U35">
    <cfRule type="cellIs" dxfId="1" priority="408" operator="equal">
      <formula>0</formula>
    </cfRule>
    <cfRule type="cellIs" dxfId="2" priority="409" operator="lessThan">
      <formula>H35</formula>
    </cfRule>
  </conditionalFormatting>
  <conditionalFormatting sqref="U36">
    <cfRule type="cellIs" dxfId="1" priority="413" operator="equal">
      <formula>0</formula>
    </cfRule>
    <cfRule type="cellIs" dxfId="2" priority="414" operator="lessThan">
      <formula>H36</formula>
    </cfRule>
  </conditionalFormatting>
  <conditionalFormatting sqref="U37">
    <cfRule type="cellIs" dxfId="1" priority="419" operator="equal">
      <formula>0</formula>
    </cfRule>
    <cfRule type="cellIs" dxfId="2" priority="420" operator="lessThan">
      <formula>H37</formula>
    </cfRule>
  </conditionalFormatting>
  <conditionalFormatting sqref="U40">
    <cfRule type="cellIs" dxfId="1" priority="424" operator="equal">
      <formula>0</formula>
    </cfRule>
    <cfRule type="cellIs" dxfId="2" priority="425" operator="lessThan">
      <formula>H40</formula>
    </cfRule>
  </conditionalFormatting>
  <conditionalFormatting sqref="U7">
    <cfRule type="cellIs" dxfId="1" priority="278" operator="equal">
      <formula>0</formula>
    </cfRule>
    <cfRule type="cellIs" dxfId="2" priority="279" operator="lessThan">
      <formula>H7</formula>
    </cfRule>
  </conditionalFormatting>
  <conditionalFormatting sqref="U8">
    <cfRule type="cellIs" dxfId="1" priority="284" operator="equal">
      <formula>0</formula>
    </cfRule>
    <cfRule type="cellIs" dxfId="2" priority="285" operator="lessThan">
      <formula>H8</formula>
    </cfRule>
  </conditionalFormatting>
  <conditionalFormatting sqref="U9">
    <cfRule type="cellIs" dxfId="1" priority="290" operator="equal">
      <formula>0</formula>
    </cfRule>
    <cfRule type="cellIs" dxfId="2" priority="291" operator="lessThan">
      <formula>H9</formula>
    </cfRule>
  </conditionalFormatting>
  <conditionalFormatting sqref="V10">
    <cfRule type="expression" dxfId="3" priority="298">
      <formula>AND(V10&gt;0,V10&lt;10)</formula>
    </cfRule>
    <cfRule type="cellIs" dxfId="1" priority="299" operator="greaterThan">
      <formula>U10</formula>
    </cfRule>
  </conditionalFormatting>
  <conditionalFormatting sqref="V11">
    <cfRule type="expression" dxfId="3" priority="304">
      <formula>AND(V11&gt;0,V11&lt;10)</formula>
    </cfRule>
    <cfRule type="cellIs" dxfId="1" priority="305" operator="greaterThan">
      <formula>U11</formula>
    </cfRule>
  </conditionalFormatting>
  <conditionalFormatting sqref="V12">
    <cfRule type="expression" dxfId="3" priority="310">
      <formula>AND(V12&gt;0,V12&lt;10)</formula>
    </cfRule>
    <cfRule type="cellIs" dxfId="1" priority="311" operator="greaterThan">
      <formula>U12</formula>
    </cfRule>
  </conditionalFormatting>
  <conditionalFormatting sqref="V13">
    <cfRule type="expression" dxfId="3" priority="316">
      <formula>AND(V13&gt;0,V13&lt;10000)</formula>
    </cfRule>
    <cfRule type="cellIs" dxfId="1" priority="317" operator="greaterThan">
      <formula>U13</formula>
    </cfRule>
  </conditionalFormatting>
  <conditionalFormatting sqref="V14">
    <cfRule type="expression" dxfId="3" priority="322">
      <formula>AND(V14&gt;0,V14&lt;4000)</formula>
    </cfRule>
    <cfRule type="cellIs" dxfId="1" priority="323" operator="greaterThan">
      <formula>U14</formula>
    </cfRule>
  </conditionalFormatting>
  <conditionalFormatting sqref="V15">
    <cfRule type="cellIs" dxfId="1" priority="328" operator="greaterThan">
      <formula>U15</formula>
    </cfRule>
  </conditionalFormatting>
  <conditionalFormatting sqref="V21">
    <cfRule type="expression" dxfId="3" priority="333">
      <formula>AND(V21&gt;0,V21&lt;30000)</formula>
    </cfRule>
    <cfRule type="cellIs" dxfId="1" priority="334" operator="greaterThan">
      <formula>U21</formula>
    </cfRule>
  </conditionalFormatting>
  <conditionalFormatting sqref="V22">
    <cfRule type="expression" dxfId="3" priority="339">
      <formula>AND(V22&gt;0,V22&lt;30000)</formula>
    </cfRule>
    <cfRule type="cellIs" dxfId="1" priority="340" operator="greaterThan">
      <formula>U22</formula>
    </cfRule>
  </conditionalFormatting>
  <conditionalFormatting sqref="V23">
    <cfRule type="expression" dxfId="3" priority="345">
      <formula>AND(V23&gt;0,V23&lt;10)</formula>
    </cfRule>
    <cfRule type="cellIs" dxfId="1" priority="346" operator="greaterThan">
      <formula>U23</formula>
    </cfRule>
  </conditionalFormatting>
  <conditionalFormatting sqref="V24">
    <cfRule type="expression" dxfId="3" priority="351">
      <formula>AND(V24&gt;0,V24&lt;30000)</formula>
    </cfRule>
    <cfRule type="cellIs" dxfId="1" priority="352" operator="greaterThan">
      <formula>U24</formula>
    </cfRule>
  </conditionalFormatting>
  <conditionalFormatting sqref="V25">
    <cfRule type="expression" dxfId="3" priority="357">
      <formula>AND(V25&gt;0,V25&lt;30000)</formula>
    </cfRule>
    <cfRule type="cellIs" dxfId="1" priority="358" operator="greaterThan">
      <formula>U25</formula>
    </cfRule>
  </conditionalFormatting>
  <conditionalFormatting sqref="V26">
    <cfRule type="expression" dxfId="3" priority="363">
      <formula>AND(V26&gt;0,V26&lt;10)</formula>
    </cfRule>
    <cfRule type="cellIs" dxfId="1" priority="364" operator="greaterThan">
      <formula>U26</formula>
    </cfRule>
  </conditionalFormatting>
  <conditionalFormatting sqref="V27">
    <cfRule type="expression" dxfId="3" priority="369">
      <formula>AND(V27&gt;0,V27&lt;10)</formula>
    </cfRule>
    <cfRule type="cellIs" dxfId="1" priority="370" operator="greaterThan">
      <formula>U27</formula>
    </cfRule>
  </conditionalFormatting>
  <conditionalFormatting sqref="V28">
    <cfRule type="expression" dxfId="3" priority="375">
      <formula>AND(V28&gt;0,V28&lt;30000)</formula>
    </cfRule>
    <cfRule type="cellIs" dxfId="1" priority="376" operator="greaterThan">
      <formula>U28</formula>
    </cfRule>
  </conditionalFormatting>
  <conditionalFormatting sqref="V29">
    <cfRule type="expression" dxfId="3" priority="381">
      <formula>AND(V29&gt;0,V29&lt;30000)</formula>
    </cfRule>
    <cfRule type="cellIs" dxfId="1" priority="382" operator="greaterThan">
      <formula>U29</formula>
    </cfRule>
  </conditionalFormatting>
  <conditionalFormatting sqref="V30">
    <cfRule type="expression" dxfId="3" priority="387">
      <formula>AND(V30&gt;0,V30&lt;10)</formula>
    </cfRule>
    <cfRule type="cellIs" dxfId="1" priority="388" operator="greaterThan">
      <formula>U30</formula>
    </cfRule>
  </conditionalFormatting>
  <conditionalFormatting sqref="V31">
    <cfRule type="expression" dxfId="3" priority="393">
      <formula>AND(V31&gt;0,V31&lt;5)</formula>
    </cfRule>
    <cfRule type="cellIs" dxfId="1" priority="394" operator="greaterThan">
      <formula>U31</formula>
    </cfRule>
  </conditionalFormatting>
  <conditionalFormatting sqref="V32">
    <cfRule type="cellIs" dxfId="1" priority="399" operator="greaterThan">
      <formula>U32</formula>
    </cfRule>
  </conditionalFormatting>
  <conditionalFormatting sqref="V33">
    <cfRule type="expression" dxfId="3" priority="404">
      <formula>AND(V33&gt;0,V33&lt;5)</formula>
    </cfRule>
    <cfRule type="cellIs" dxfId="1" priority="405" operator="greaterThan">
      <formula>U33</formula>
    </cfRule>
  </conditionalFormatting>
  <conditionalFormatting sqref="V35">
    <cfRule type="cellIs" dxfId="1" priority="410" operator="greaterThan">
      <formula>U35</formula>
    </cfRule>
  </conditionalFormatting>
  <conditionalFormatting sqref="V36">
    <cfRule type="expression" dxfId="3" priority="415">
      <formula>AND(V36&gt;0,V36&lt;5)</formula>
    </cfRule>
    <cfRule type="cellIs" dxfId="1" priority="416" operator="greaterThan">
      <formula>U36</formula>
    </cfRule>
  </conditionalFormatting>
  <conditionalFormatting sqref="V37">
    <cfRule type="cellIs" dxfId="1" priority="421" operator="greaterThan">
      <formula>U37</formula>
    </cfRule>
  </conditionalFormatting>
  <conditionalFormatting sqref="V40">
    <cfRule type="expression" dxfId="3" priority="426">
      <formula>AND(V40&gt;0,V40&lt;5)</formula>
    </cfRule>
    <cfRule type="cellIs" dxfId="1" priority="427" operator="greaterThan">
      <formula>U40</formula>
    </cfRule>
  </conditionalFormatting>
  <conditionalFormatting sqref="V7">
    <cfRule type="expression" dxfId="3" priority="280">
      <formula>AND(V7&gt;0,V7&lt;10)</formula>
    </cfRule>
    <cfRule type="cellIs" dxfId="1" priority="281" operator="greaterThan">
      <formula>U7</formula>
    </cfRule>
  </conditionalFormatting>
  <conditionalFormatting sqref="V8">
    <cfRule type="expression" dxfId="3" priority="286">
      <formula>AND(V8&gt;0,V8&lt;10)</formula>
    </cfRule>
    <cfRule type="cellIs" dxfId="1" priority="287" operator="greaterThan">
      <formula>U8</formula>
    </cfRule>
  </conditionalFormatting>
  <conditionalFormatting sqref="V9">
    <cfRule type="expression" dxfId="3" priority="292">
      <formula>AND(V9&gt;0,V9&lt;10)</formula>
    </cfRule>
    <cfRule type="cellIs" dxfId="1" priority="293" operator="greaterThan">
      <formula>U9</formula>
    </cfRule>
  </conditionalFormatting>
  <conditionalFormatting sqref="W10">
    <cfRule type="cellIs" dxfId="4" priority="301" operator="lessThanOrEqual">
      <formula>I10</formula>
    </cfRule>
  </conditionalFormatting>
  <conditionalFormatting sqref="W11">
    <cfRule type="cellIs" dxfId="4" priority="307" operator="lessThanOrEqual">
      <formula>I11</formula>
    </cfRule>
  </conditionalFormatting>
  <conditionalFormatting sqref="W12">
    <cfRule type="cellIs" dxfId="4" priority="313" operator="lessThanOrEqual">
      <formula>I12</formula>
    </cfRule>
  </conditionalFormatting>
  <conditionalFormatting sqref="W13">
    <cfRule type="cellIs" dxfId="4" priority="319" operator="lessThanOrEqual">
      <formula>I13</formula>
    </cfRule>
  </conditionalFormatting>
  <conditionalFormatting sqref="W14">
    <cfRule type="cellIs" dxfId="4" priority="325" operator="lessThanOrEqual">
      <formula>I14</formula>
    </cfRule>
  </conditionalFormatting>
  <conditionalFormatting sqref="W15">
    <cfRule type="cellIs" dxfId="4" priority="330" operator="lessThanOrEqual">
      <formula>I15</formula>
    </cfRule>
  </conditionalFormatting>
  <conditionalFormatting sqref="W21">
    <cfRule type="cellIs" dxfId="4" priority="336" operator="lessThanOrEqual">
      <formula>I21</formula>
    </cfRule>
  </conditionalFormatting>
  <conditionalFormatting sqref="W22">
    <cfRule type="cellIs" dxfId="4" priority="342" operator="lessThanOrEqual">
      <formula>I22</formula>
    </cfRule>
  </conditionalFormatting>
  <conditionalFormatting sqref="W23">
    <cfRule type="cellIs" dxfId="4" priority="348" operator="lessThanOrEqual">
      <formula>I23</formula>
    </cfRule>
  </conditionalFormatting>
  <conditionalFormatting sqref="W24">
    <cfRule type="cellIs" dxfId="4" priority="354" operator="lessThanOrEqual">
      <formula>I24</formula>
    </cfRule>
  </conditionalFormatting>
  <conditionalFormatting sqref="W25">
    <cfRule type="cellIs" dxfId="4" priority="360" operator="lessThanOrEqual">
      <formula>I25</formula>
    </cfRule>
  </conditionalFormatting>
  <conditionalFormatting sqref="W26">
    <cfRule type="cellIs" dxfId="4" priority="366" operator="lessThanOrEqual">
      <formula>I26</formula>
    </cfRule>
  </conditionalFormatting>
  <conditionalFormatting sqref="W27">
    <cfRule type="cellIs" dxfId="4" priority="372" operator="lessThanOrEqual">
      <formula>I27</formula>
    </cfRule>
  </conditionalFormatting>
  <conditionalFormatting sqref="W28">
    <cfRule type="cellIs" dxfId="4" priority="378" operator="lessThanOrEqual">
      <formula>I28</formula>
    </cfRule>
  </conditionalFormatting>
  <conditionalFormatting sqref="W29">
    <cfRule type="cellIs" dxfId="4" priority="384" operator="lessThanOrEqual">
      <formula>I29</formula>
    </cfRule>
  </conditionalFormatting>
  <conditionalFormatting sqref="W30">
    <cfRule type="cellIs" dxfId="4" priority="390" operator="lessThanOrEqual">
      <formula>I30</formula>
    </cfRule>
  </conditionalFormatting>
  <conditionalFormatting sqref="W31">
    <cfRule type="cellIs" dxfId="4" priority="396" operator="lessThanOrEqual">
      <formula>I31</formula>
    </cfRule>
  </conditionalFormatting>
  <conditionalFormatting sqref="W32">
    <cfRule type="cellIs" dxfId="4" priority="401" operator="lessThanOrEqual">
      <formula>I32</formula>
    </cfRule>
  </conditionalFormatting>
  <conditionalFormatting sqref="W33">
    <cfRule type="cellIs" dxfId="4" priority="407" operator="lessThanOrEqual">
      <formula>I33</formula>
    </cfRule>
  </conditionalFormatting>
  <conditionalFormatting sqref="W35">
    <cfRule type="cellIs" dxfId="4" priority="412" operator="lessThanOrEqual">
      <formula>I35</formula>
    </cfRule>
  </conditionalFormatting>
  <conditionalFormatting sqref="W36">
    <cfRule type="cellIs" dxfId="4" priority="418" operator="lessThanOrEqual">
      <formula>I36</formula>
    </cfRule>
  </conditionalFormatting>
  <conditionalFormatting sqref="W37">
    <cfRule type="cellIs" dxfId="4" priority="423" operator="lessThanOrEqual">
      <formula>I37</formula>
    </cfRule>
  </conditionalFormatting>
  <conditionalFormatting sqref="W40">
    <cfRule type="cellIs" dxfId="4" priority="429" operator="lessThanOrEqual">
      <formula>I40</formula>
    </cfRule>
  </conditionalFormatting>
  <conditionalFormatting sqref="W7">
    <cfRule type="cellIs" dxfId="4" priority="283" operator="lessThanOrEqual">
      <formula>I7</formula>
    </cfRule>
  </conditionalFormatting>
  <conditionalFormatting sqref="W8">
    <cfRule type="cellIs" dxfId="4" priority="289" operator="lessThanOrEqual">
      <formula>I8</formula>
    </cfRule>
  </conditionalFormatting>
  <conditionalFormatting sqref="W9">
    <cfRule type="cellIs" dxfId="4" priority="295" operator="lessThanOrEqual">
      <formula>I9</formula>
    </cfRule>
  </conditionalFormatting>
  <conditionalFormatting sqref="X10">
    <cfRule type="cellIs" dxfId="4" priority="300" operator="lessThanOrEqual">
      <formula>J10</formula>
    </cfRule>
  </conditionalFormatting>
  <conditionalFormatting sqref="X11">
    <cfRule type="cellIs" dxfId="4" priority="306" operator="lessThanOrEqual">
      <formula>J11</formula>
    </cfRule>
  </conditionalFormatting>
  <conditionalFormatting sqref="X12">
    <cfRule type="cellIs" dxfId="4" priority="312" operator="lessThanOrEqual">
      <formula>J12</formula>
    </cfRule>
  </conditionalFormatting>
  <conditionalFormatting sqref="X13">
    <cfRule type="cellIs" dxfId="4" priority="318" operator="lessThanOrEqual">
      <formula>J13</formula>
    </cfRule>
  </conditionalFormatting>
  <conditionalFormatting sqref="X14">
    <cfRule type="cellIs" dxfId="4" priority="324" operator="lessThanOrEqual">
      <formula>J14</formula>
    </cfRule>
  </conditionalFormatting>
  <conditionalFormatting sqref="X15">
    <cfRule type="cellIs" dxfId="4" priority="329" operator="lessThanOrEqual">
      <formula>J15</formula>
    </cfRule>
  </conditionalFormatting>
  <conditionalFormatting sqref="X21">
    <cfRule type="cellIs" dxfId="4" priority="335" operator="lessThanOrEqual">
      <formula>J21</formula>
    </cfRule>
  </conditionalFormatting>
  <conditionalFormatting sqref="X22">
    <cfRule type="cellIs" dxfId="4" priority="341" operator="lessThanOrEqual">
      <formula>J22</formula>
    </cfRule>
  </conditionalFormatting>
  <conditionalFormatting sqref="X23">
    <cfRule type="cellIs" dxfId="4" priority="347" operator="lessThanOrEqual">
      <formula>J23</formula>
    </cfRule>
  </conditionalFormatting>
  <conditionalFormatting sqref="X24">
    <cfRule type="cellIs" dxfId="4" priority="353" operator="lessThanOrEqual">
      <formula>J24</formula>
    </cfRule>
  </conditionalFormatting>
  <conditionalFormatting sqref="X25">
    <cfRule type="cellIs" dxfId="4" priority="359" operator="lessThanOrEqual">
      <formula>J25</formula>
    </cfRule>
  </conditionalFormatting>
  <conditionalFormatting sqref="X26">
    <cfRule type="cellIs" dxfId="4" priority="365" operator="lessThanOrEqual">
      <formula>J26</formula>
    </cfRule>
  </conditionalFormatting>
  <conditionalFormatting sqref="X27">
    <cfRule type="cellIs" dxfId="4" priority="371" operator="lessThanOrEqual">
      <formula>J27</formula>
    </cfRule>
  </conditionalFormatting>
  <conditionalFormatting sqref="X28">
    <cfRule type="cellIs" dxfId="4" priority="377" operator="lessThanOrEqual">
      <formula>J28</formula>
    </cfRule>
  </conditionalFormatting>
  <conditionalFormatting sqref="X29">
    <cfRule type="cellIs" dxfId="4" priority="383" operator="lessThanOrEqual">
      <formula>J29</formula>
    </cfRule>
  </conditionalFormatting>
  <conditionalFormatting sqref="X30">
    <cfRule type="cellIs" dxfId="4" priority="389" operator="lessThanOrEqual">
      <formula>J30</formula>
    </cfRule>
  </conditionalFormatting>
  <conditionalFormatting sqref="X31">
    <cfRule type="cellIs" dxfId="4" priority="395" operator="lessThanOrEqual">
      <formula>J31</formula>
    </cfRule>
  </conditionalFormatting>
  <conditionalFormatting sqref="X32">
    <cfRule type="cellIs" dxfId="4" priority="400" operator="lessThanOrEqual">
      <formula>J32</formula>
    </cfRule>
  </conditionalFormatting>
  <conditionalFormatting sqref="X33">
    <cfRule type="cellIs" dxfId="4" priority="406" operator="lessThanOrEqual">
      <formula>J33</formula>
    </cfRule>
  </conditionalFormatting>
  <conditionalFormatting sqref="X35">
    <cfRule type="cellIs" dxfId="4" priority="411" operator="lessThanOrEqual">
      <formula>J35</formula>
    </cfRule>
  </conditionalFormatting>
  <conditionalFormatting sqref="X36">
    <cfRule type="cellIs" dxfId="4" priority="417" operator="lessThanOrEqual">
      <formula>J36</formula>
    </cfRule>
  </conditionalFormatting>
  <conditionalFormatting sqref="X37">
    <cfRule type="cellIs" dxfId="4" priority="422" operator="lessThanOrEqual">
      <formula>J37</formula>
    </cfRule>
  </conditionalFormatting>
  <conditionalFormatting sqref="X40">
    <cfRule type="cellIs" dxfId="4" priority="428" operator="lessThanOrEqual">
      <formula>J40</formula>
    </cfRule>
  </conditionalFormatting>
  <conditionalFormatting sqref="X7">
    <cfRule type="cellIs" dxfId="4" priority="282" operator="lessThanOrEqual">
      <formula>J7</formula>
    </cfRule>
  </conditionalFormatting>
  <conditionalFormatting sqref="X8">
    <cfRule type="cellIs" dxfId="4" priority="288" operator="lessThanOrEqual">
      <formula>J8</formula>
    </cfRule>
  </conditionalFormatting>
  <conditionalFormatting sqref="X9">
    <cfRule type="cellIs" dxfId="4" priority="294" operator="lessThanOrEqual">
      <formula>J9</formula>
    </cfRule>
  </conditionalFormatting>
  <conditionalFormatting sqref="Z11">
    <cfRule type="cellIs" dxfId="1" priority="436" operator="equal">
      <formula>0</formula>
    </cfRule>
    <cfRule type="cellIs" dxfId="2" priority="437" operator="lessThan">
      <formula>H11</formula>
    </cfRule>
  </conditionalFormatting>
  <conditionalFormatting sqref="Z12">
    <cfRule type="cellIs" dxfId="1" priority="442" operator="equal">
      <formula>0</formula>
    </cfRule>
    <cfRule type="cellIs" dxfId="2" priority="443" operator="lessThan">
      <formula>H12</formula>
    </cfRule>
  </conditionalFormatting>
  <conditionalFormatting sqref="Z20">
    <cfRule type="cellIs" dxfId="1" priority="448" operator="equal">
      <formula>0</formula>
    </cfRule>
    <cfRule type="cellIs" dxfId="2" priority="449" operator="lessThan">
      <formula>H20</formula>
    </cfRule>
  </conditionalFormatting>
  <conditionalFormatting sqref="Z22">
    <cfRule type="cellIs" dxfId="1" priority="453" operator="equal">
      <formula>0</formula>
    </cfRule>
    <cfRule type="cellIs" dxfId="2" priority="454" operator="lessThan">
      <formula>H22</formula>
    </cfRule>
  </conditionalFormatting>
  <conditionalFormatting sqref="Z27">
    <cfRule type="cellIs" dxfId="1" priority="459" operator="equal">
      <formula>0</formula>
    </cfRule>
    <cfRule type="cellIs" dxfId="2" priority="460" operator="lessThan">
      <formula>H27</formula>
    </cfRule>
  </conditionalFormatting>
  <conditionalFormatting sqref="Z29">
    <cfRule type="cellIs" dxfId="1" priority="465" operator="equal">
      <formula>0</formula>
    </cfRule>
    <cfRule type="cellIs" dxfId="2" priority="466" operator="lessThan">
      <formula>H29</formula>
    </cfRule>
  </conditionalFormatting>
  <conditionalFormatting sqref="Z34">
    <cfRule type="cellIs" dxfId="1" priority="471" operator="equal">
      <formula>0</formula>
    </cfRule>
    <cfRule type="cellIs" dxfId="2" priority="472" operator="lessThan">
      <formula>H34</formula>
    </cfRule>
  </conditionalFormatting>
  <conditionalFormatting sqref="Z8">
    <cfRule type="cellIs" dxfId="1" priority="430" operator="equal">
      <formula>0</formula>
    </cfRule>
    <cfRule type="cellIs" dxfId="2" priority="431" operator="lessThan">
      <formula>H8</formula>
    </cfRule>
  </conditionalFormatting>
  <hyperlinks>
    <hyperlink ref="G7" r:id="rId1"/>
    <hyperlink ref="T7" r:id="rId2"/>
    <hyperlink ref="Y7" r:id="rId3"/>
    <hyperlink ref="AI7" r:id="rId4"/>
    <hyperlink ref="AN7" r:id="rId5"/>
    <hyperlink ref="G8" r:id="rId6"/>
    <hyperlink ref="T8" r:id="rId7"/>
    <hyperlink ref="Y8" r:id="rId8"/>
    <hyperlink ref="AD8" r:id="rId9"/>
    <hyperlink ref="AI8" r:id="rId10"/>
    <hyperlink ref="AN8" r:id="rId11"/>
    <hyperlink ref="G9" r:id="rId12"/>
    <hyperlink ref="T9" r:id="rId13"/>
    <hyperlink ref="Y9" r:id="rId14"/>
    <hyperlink ref="AI9" r:id="rId15"/>
    <hyperlink ref="AN9" r:id="rId16"/>
    <hyperlink ref="AS9" r:id="rId17"/>
    <hyperlink ref="G10" r:id="rId18"/>
    <hyperlink ref="T10" r:id="rId19"/>
    <hyperlink ref="Y10" r:id="rId20"/>
    <hyperlink ref="AI10" r:id="rId21"/>
    <hyperlink ref="AN10" r:id="rId22"/>
    <hyperlink ref="G11" r:id="rId23"/>
    <hyperlink ref="T11" r:id="rId24"/>
    <hyperlink ref="Y11" r:id="rId25"/>
    <hyperlink ref="AD11" r:id="rId26"/>
    <hyperlink ref="AI11" r:id="rId27"/>
    <hyperlink ref="AN11" r:id="rId28"/>
    <hyperlink ref="G12" r:id="rId29"/>
    <hyperlink ref="T12" r:id="rId30"/>
    <hyperlink ref="Y12" r:id="rId31"/>
    <hyperlink ref="AD12" r:id="rId32"/>
    <hyperlink ref="AI12" r:id="rId33"/>
    <hyperlink ref="AN12" r:id="rId34"/>
    <hyperlink ref="AS12" r:id="rId35"/>
    <hyperlink ref="G13" r:id="rId36"/>
    <hyperlink ref="T13" r:id="rId37"/>
    <hyperlink ref="Y13" r:id="rId38"/>
    <hyperlink ref="AI13" r:id="rId39"/>
    <hyperlink ref="AN13" r:id="rId40"/>
    <hyperlink ref="G14" r:id="rId41"/>
    <hyperlink ref="T14" r:id="rId42"/>
    <hyperlink ref="Y14" r:id="rId43"/>
    <hyperlink ref="AI14" r:id="rId44"/>
    <hyperlink ref="AN14" r:id="rId45"/>
    <hyperlink ref="AX14" r:id="rId46"/>
    <hyperlink ref="G15" r:id="rId47"/>
    <hyperlink ref="T15" r:id="rId48"/>
    <hyperlink ref="Y15" r:id="rId49"/>
    <hyperlink ref="AI15" r:id="rId50"/>
    <hyperlink ref="AN15" r:id="rId51"/>
    <hyperlink ref="AX15" r:id="rId52"/>
    <hyperlink ref="G20" r:id="rId53"/>
    <hyperlink ref="AD20" r:id="rId54"/>
    <hyperlink ref="G21" r:id="rId55"/>
    <hyperlink ref="T21" r:id="rId56"/>
    <hyperlink ref="Y21" r:id="rId57"/>
    <hyperlink ref="AI21" r:id="rId58"/>
    <hyperlink ref="AN21" r:id="rId59"/>
    <hyperlink ref="AS21" r:id="rId60"/>
    <hyperlink ref="G22" r:id="rId61"/>
    <hyperlink ref="T22" r:id="rId62"/>
    <hyperlink ref="Y22" r:id="rId63"/>
    <hyperlink ref="AD22" r:id="rId64"/>
    <hyperlink ref="AI22" r:id="rId65"/>
    <hyperlink ref="AN22" r:id="rId66"/>
    <hyperlink ref="AS22" r:id="rId67"/>
    <hyperlink ref="G23" r:id="rId68"/>
    <hyperlink ref="T23" r:id="rId69"/>
    <hyperlink ref="Y23" r:id="rId70"/>
    <hyperlink ref="AI23" r:id="rId71"/>
    <hyperlink ref="AN23" r:id="rId72"/>
    <hyperlink ref="AS23" r:id="rId73"/>
    <hyperlink ref="G24" r:id="rId74"/>
    <hyperlink ref="T24" r:id="rId75"/>
    <hyperlink ref="Y24" r:id="rId76"/>
    <hyperlink ref="AI24" r:id="rId77"/>
    <hyperlink ref="AN24" r:id="rId78"/>
    <hyperlink ref="G25" r:id="rId79"/>
    <hyperlink ref="T25" r:id="rId80"/>
    <hyperlink ref="Y25" r:id="rId81"/>
    <hyperlink ref="AI25" r:id="rId82"/>
    <hyperlink ref="AN25" r:id="rId83"/>
    <hyperlink ref="AS25" r:id="rId84"/>
    <hyperlink ref="G26" r:id="rId85"/>
    <hyperlink ref="T26" r:id="rId86"/>
    <hyperlink ref="Y26" r:id="rId87"/>
    <hyperlink ref="AI26" r:id="rId88"/>
    <hyperlink ref="AN26" r:id="rId89"/>
    <hyperlink ref="G27" r:id="rId90"/>
    <hyperlink ref="T27" r:id="rId91"/>
    <hyperlink ref="Y27" r:id="rId92"/>
    <hyperlink ref="AD27" r:id="rId93"/>
    <hyperlink ref="AI27" r:id="rId94"/>
    <hyperlink ref="AN27" r:id="rId95"/>
    <hyperlink ref="AS27" r:id="rId96"/>
    <hyperlink ref="G28" r:id="rId97"/>
    <hyperlink ref="T28" r:id="rId98"/>
    <hyperlink ref="Y28" r:id="rId99"/>
    <hyperlink ref="AI28" r:id="rId100"/>
    <hyperlink ref="AN28" r:id="rId101"/>
    <hyperlink ref="G29" r:id="rId102"/>
    <hyperlink ref="T29" r:id="rId103"/>
    <hyperlink ref="Y29" r:id="rId104"/>
    <hyperlink ref="AD29" r:id="rId105"/>
    <hyperlink ref="AI29" r:id="rId106"/>
    <hyperlink ref="AN29" r:id="rId107"/>
    <hyperlink ref="AS29" r:id="rId108"/>
    <hyperlink ref="G30" r:id="rId109"/>
    <hyperlink ref="T30" r:id="rId110"/>
    <hyperlink ref="Y30" r:id="rId111"/>
    <hyperlink ref="AI30" r:id="rId112"/>
    <hyperlink ref="AN30" r:id="rId113"/>
    <hyperlink ref="G31" r:id="rId114"/>
    <hyperlink ref="T31" r:id="rId115"/>
    <hyperlink ref="Y31" r:id="rId116"/>
    <hyperlink ref="AI31" r:id="rId117"/>
    <hyperlink ref="AN31" r:id="rId118"/>
    <hyperlink ref="AS31" r:id="rId119"/>
    <hyperlink ref="G32" r:id="rId120"/>
    <hyperlink ref="T32" r:id="rId121"/>
    <hyperlink ref="Y32" r:id="rId122"/>
    <hyperlink ref="AI32" r:id="rId123"/>
    <hyperlink ref="AN32" r:id="rId124"/>
    <hyperlink ref="G33" r:id="rId125"/>
    <hyperlink ref="T33" r:id="rId126"/>
    <hyperlink ref="Y33" r:id="rId127"/>
    <hyperlink ref="AI33" r:id="rId128"/>
    <hyperlink ref="AN33" r:id="rId129"/>
    <hyperlink ref="AS33" r:id="rId130"/>
    <hyperlink ref="G34" r:id="rId131"/>
    <hyperlink ref="T34" r:id="rId132"/>
    <hyperlink ref="AD34" r:id="rId133"/>
    <hyperlink ref="AI34" r:id="rId134"/>
    <hyperlink ref="G35" r:id="rId135"/>
    <hyperlink ref="T35" r:id="rId136"/>
    <hyperlink ref="Y35" r:id="rId137"/>
    <hyperlink ref="AI35" r:id="rId138"/>
    <hyperlink ref="AN35" r:id="rId139"/>
    <hyperlink ref="G36" r:id="rId140"/>
    <hyperlink ref="T36" r:id="rId141"/>
    <hyperlink ref="Y36" r:id="rId142"/>
    <hyperlink ref="AI36" r:id="rId143"/>
    <hyperlink ref="AN36" r:id="rId144"/>
    <hyperlink ref="AS36" r:id="rId145"/>
    <hyperlink ref="AX36" r:id="rId146"/>
    <hyperlink ref="G37" r:id="rId147"/>
    <hyperlink ref="T37" r:id="rId148"/>
    <hyperlink ref="Y37" r:id="rId149"/>
    <hyperlink ref="AI37" r:id="rId150"/>
    <hyperlink ref="AN37" r:id="rId151"/>
    <hyperlink ref="AS37" r:id="rId152"/>
    <hyperlink ref="AX37" r:id="rId153"/>
    <hyperlink ref="G38" r:id="rId154"/>
    <hyperlink ref="G39" r:id="rId155"/>
    <hyperlink ref="T39" r:id="rId156"/>
    <hyperlink ref="G40" r:id="rId157"/>
    <hyperlink ref="T40" r:id="rId158"/>
    <hyperlink ref="Y40" r:id="rId159"/>
    <hyperlink ref="AI40" r:id="rId160"/>
    <hyperlink ref="AN40" r:id="rId161"/>
    <hyperlink ref="K42" r:id="rId162"/>
    <hyperlink ref="P42" r:id="rId163"/>
    <hyperlink ref="U42" r:id="rId164"/>
    <hyperlink ref="Z42" r:id="rId165"/>
    <hyperlink ref="AE42" r:id="rId166"/>
    <hyperlink ref="AJ42" r:id="rId167"/>
    <hyperlink ref="AO42" r:id="rId168"/>
    <hyperlink ref="AT42" r:id="rId169"/>
  </hyperlinks>
  <pageMargins left="0.7" right="0.7" top="0.75" bottom="0.75" header="0.3" footer="0.3"/>
  <legacyDrawing r:id="rId1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reDIP-SID-BOM.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2021-08-21T20:57:35Z</dcterms:created>
  <dcterms:modified xsi:type="dcterms:W3CDTF">2021-08-21T20:57:35Z</dcterms:modified>
</cp:coreProperties>
</file>