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" sheetId="1" r:id="rId1"/>
  </sheets>
  <definedNames>
    <definedName name="BoardQty" localSheetId="0">'reDIP-SID-BOM'!$J$1</definedName>
    <definedName name="PURCHASE_DESCRIPTION" localSheetId="0">'reDIP-SID-BOM'!$J$44</definedName>
    <definedName name="TotalCost" localSheetId="0">'reDIP-SID-BOM'!$J$3</definedName>
    <definedName name="USD_GBP" localSheetId="0">'reDIP-SID-BOM'!$C$44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D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500   £0.05     £26.15
  2500   £0.05    £125.00
  5000   £0.05    £228.00
 10000   £0.04    £432.00
 50000   £0.04  £1,930.00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$0.52
   100   $0.04      $4.26
   300   $0.04     $10.77
  1000   $0.03     $30.30
  5000   $0.03    $146.50
 10000   $0.03    $288.00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$0.11      $1.14
    50   $0.11      $5.70
   100   $0.10      $9.70
  1000   $0.06     $59.00
 10000   $0.05    $480.00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$0.24      $2.38
    25   $0.20      $4.98
    50   $0.16      $8.00
   100   $0.12     $12.10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</t>
        </r>
      </text>
    </comment>
    <comment ref="Q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$0.17      $1.65
    50   $0.11      $5.50
   100   $0.09      $9.35
   500   $0.07     $33.00
  1000   $0.06     $57.75
  2500   $0.06    $137.50
  5000   $0.05    $254.40
 15000   $0.05    $684.75
 30000   $0.04  $1,320.00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500   £0.08     £41.85
  2500   £0.06    £159.00
  7500   £0.05    £397.50
 15000   £0.05    £780.00
 75000   £0.04  £3,337.50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$0.54
   100   $0.04      $4.44
   300   $0.04     $11.28
  1000   $0.03     $32.00
  5000   $0.03    $155.00
 10000   $0.03    $305.00</t>
        </r>
      </text>
    </comment>
    <comment ref="AI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$0.12      $1.19
    50   $0.12      $5.95
   100   $0.09      $9.40
  1000   $0.07     $67.00
 10000   $0.05    $520.00</t>
        </r>
      </text>
    </comment>
    <comment ref="AO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$0.20      $2.05
    25   $0.18      $4.40
    50   $0.15      $7.30
   100   $0.12     $11.60
 15000   $0.06    $930.00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$0.22      $2.22
    25   $0.21      $5.27
   100   $0.18     $18.16
   250   $0.18     $45.05
   500   $0.16     $80.50
  1000   $0.11    $109.70
  3000   $0.11    $325.80
  6000   $0.10    $595.20
 15000   $0.10  $1,473.00
 30000   $0.09  $2,841.00
 75000   $0.09  $6,652.50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500   £0.10     £51.00
  2500   £0.10    £242.25
  5000   £0.09    £426.50
 10000   £0.08    £836.00
 50000   £0.07  £3,580.00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$0.13      $0.65
    50   $0.11      $5.35
   150   $0.09     $13.50
   500   $0.08     $38.00
  2500   $0.07    $184.00
  5000   $0.07    $362.00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$0.25      $2.47
    25   $0.24      $5.90
    50   $0.22     $11.20
   100   $0.21     $21.20
 10000   $0.11  $1,110.00
 20000   $0.11  $2,180.00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$0.04      $0.37
    25   $0.03      $0.76
   100   $0.02      $1.55
   250   $0.01      $3.67
   500   $0.01      $5.25
  1000   $0.01     $10.10
  3000   $0.01     $29.40
  6000   $0.01     $58.20
 15000   $0.01     $91.50
 30000   $0.01    $180.00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$0.02      $0.89
   100   $0.01      $1.46
   500   $0.01      $5.20
  1000   $0.01      $8.17
  2500   $0.01     $18.55
  5000   $0.01     $34.15
 15000   $0.01     $89.10
 30000   $0.01    $169.20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500   £0.01      £4.50
  2500   £0.01     £15.00
  7500   £0.01     £44.25
 15000   £0.01     £81.00
 75000   £0.00    £352.50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$0.43
  1000   $0.00      $3.60
  3000   $0.00      $9.30
 10000   $0.00     $27.00
 50000   $0.00    $130.00
100000   $0.00    $260.00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$0.01      $1.50
  1000   $0.01      $9.00
 10000   $0.01     $70.00</t>
        </r>
      </text>
    </comment>
    <comment ref="A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$0.04      $0.41
    25   $0.03      $0.83
    50   $0.03      $1.30
   100   $0.02      $1.80
 15000   $0.01    $120.00</t>
        </r>
      </text>
    </comment>
    <comment ref="A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$0.25      $2.53
    25   $0.24      $5.92
    50   $0.17      $8.53
   100   $0.15     $14.81
   250   $0.15     $36.67
   500   $0.10     $52.20
  1000   $0.10    $103.30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$0.25      $2.47
    50   $0.17      $8.64
   100   $0.15     $14.82
   500   $0.11     $55.56
  1000   $0.09     $93.84
  4000   $0.08    $305.32
  8000   $0.07    $574.72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500   £0.11     £53.00
  1000   £0.09     £90.00
  2000   £0.08    £165.60
  4000   £0.08    £302.40
 20000   £0.07  £1,482.00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$0.04      $0.19
    50   $0.03      $1.54
   150   $0.03      $3.82
   500   $0.02     $10.60
  2500   $0.02     $51.00
  5000   $0.02    $100.50</t>
        </r>
      </text>
    </comment>
    <comment ref="A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$9.44
   100   $0.16     $16.18
   500   $0.12     $60.68
  1000   $0.10    $102.48
  4000   $0.09    $366.76</t>
        </r>
      </text>
    </comment>
    <comment ref="W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£2.16
   100   £0.13     £12.90
   500   £0.10     £48.45
  1000   £0.08     £81.30
  2000   £0.08    £159.20
  4000   £0.06    £244.00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$0.07    $750.00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$0.13    $512.00</t>
        </r>
      </text>
    </comment>
    <comment ref="A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$2.98
    25   $0.25      $6.15
    50   $0.22     $10.98
   100   $0.11     $11.18
   250   $0.10     $25.12
   500   $0.09     $45.25
  1000   $0.08     $81.60
  3000   $0.08    $228.90
  6000   $0.07    $400.20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£0.09    £344.40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$0.10    $412.00</t>
        </r>
      </text>
    </comment>
    <comment ref="BC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£0.12      £3.10
   100   £0.08      £7.66
   500   £0.06     £29.20
  4000   £0.04    £175.20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£0.22      £5.50
    50   £0.16      £8.05
   100   £0.10      £9.93
   250   £0.09     £23.55
   500   £0.09     £44.55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$0.97
    50   $0.04      $1.95
   100   $0.04      $3.90
   250   $0.04      $9.75
   500   $0.04     $19.50</t>
        </r>
      </text>
    </comment>
    <comment ref="BC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£0.11      £2.71
   100   £0.08      £7.66
   500   £0.06     £27.65
  4000   £0.04    £159.20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$0.33      $3.28
    30   $0.28      $8.44
   100   $0.23     $23.09
   500   $0.22    $110.00
  1000   $0.22    $218.20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$0.25
    25   $0.02      $0.62
   100   $0.01      $1.07
   250   $0.01      $2.65
   500   $0.01      $5.15
  1000   $0.01      $6.20
  3000   $0.00     $12.60
  6000   $0.00     $24.60
 15000   $0.00     $51.00
 30000   $0.00     $99.00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15000   $0.01     $75.00
 30000   $0.00    $120.00</t>
        </r>
      </text>
    </comment>
    <comment ref="A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£5.00
  5000   £0.01     £25.00
 10000   £0.01     £50.00
 15000   £0.01     £75.00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£0.01     £25.00
 10000   £0.01     £50.00
 15000   £0.00     £60.00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$0.06      $0.57
    25   $0.05      $1.18
   100   $0.02      $2.23
   250   $0.02      $5.53
   500   $0.01      $7.05
  1000   $0.01     $10.70
  3000   $0.01     $30.00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$0.64
   500   $0.01      $5.35
  1500   $0.01     $13.80
  5000   $0.01     $40.00
 25000   $0.01    $192.50
 50000   $0.01    $380.00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$0.66
    25   $0.07      $1.65
    50   $0.04      $2.00
   100   $0.03      $2.70
   250   $0.02      $5.50
   500   $0.02      $8.50
  1000   $0.01     $12.00
  2500   $0.01     $22.50
 10000   $0.01    $150.00
 15000   $0.01    $225.00
 20000   $0.01    $200.00</t>
        </r>
      </text>
    </comment>
    <comment ref="A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£0.01     £90.00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$0.05      $0.48
    25   $0.05      $1.20
   100   $0.02      $1.99
   250   $0.02      $4.40
   500   $0.02      $8.70
  1000   $0.01     $10.40
  3000   $0.01     $22.20
  6000   $0.01     $37.80</t>
        </r>
      </text>
    </comment>
    <comment ref="S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£0.01     £99.00
 75000   £0.01    £412.50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$0.53
   500   $0.01      $4.45
  1500   $0.01     $11.40
  5000   $0.01     $33.00
 25000   $0.01    $160.00
 50000   $0.01    $320.00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$0.06      $0.62
    25   $0.05      $1.25
    50   $0.04      $1.90
   100   $0.03      $2.60
 15000   $0.01    $135.00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$0.07      $0.72
    25   $0.05      $1.34
   100   $0.04      $3.99
   250   $0.02      $5.07
   500   $0.01      $7.40
  1000   $0.01     $11.10</t>
        </r>
      </text>
    </comment>
    <comment ref="Q2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$5.50
  1500   $0.01     $14.10
  5000   $0.01     $41.00
 25000   $0.01    $197.50
 50000   $0.01    $390.00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$0.66
    25   $0.05      $1.32
    50   $0.04      $2.00
   100   $0.03      $2.80
   250   $0.03      $6.25
   500   $0.02      $9.00
  1000   $0.01     $12.00
  2500   $0.01     $27.50
  5000   $0.01     $50.00
 15000   $0.01    $135.00</t>
        </r>
      </text>
    </comment>
    <comment ref="A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S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$0.27
    25   $0.02      $0.60</t>
        </r>
      </text>
    </comment>
    <comment ref="S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$0.34
   500   $0.01      $2.85
  1500   $0.00      $7.20
  5000   $0.00     $21.00
 25000   $0.00    $102.50
 50000   $0.00    $200.00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M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$54.00</t>
        </r>
      </text>
    </comment>
    <comment ref="S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25   $0.02      $0.55
    50   $0.02      $0.84
   100   $0.01      $1.23
   250   $0.01      $2.35
   500   $0.01      $3.76
  1000   $0.01      $5.54
  5000   $0.00     $19.85
 15000   $0.00     $51.75
 30000   $0.00     $90.90
 75000   $0.00    $208.50
105000   $0.00    $285.60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500   £0.02      £9.00
  2500   £0.01     £30.00
  7500   £0.01     £67.50
 15000   £0.01    £105.00
 75000   £0.00    £322.50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$0.57
   100   $0.01      $1.00
   250   $0.01      $2.25
   500   $0.01      $4.00
  1000   $0.01      $7.00
  2500   $0.01     $12.50
  5000   $0.00     $20.00
 15000   $0.01     $90.00</t>
        </r>
      </text>
    </comment>
    <comment ref="A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£50.00
 15000   £0.01     £75.00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$0.08      $0.76
    25   $0.05      $1.20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100   £0.03      £2.50
   500   £0.01      £5.90
  2500   £0.01     £19.75
  7500   £0.01     £50.25
 15000   £0.01     £99.00
 75000   £0.01    £412.50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$0.62
   500   $0.01      $5.15
  1500   $0.01     $13.35
  5000   $0.01     $38.00
 25000   $0.01    $185.00
 50000   $0.01    $365.00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  10   $0.07      $0.66
    25   $0.08      $1.95
    50   $0.04      $2.00
   100   $0.03      $2.90
   250   $0.03      $6.25
   500   $0.02      $9.50
  1000   $0.02     $16.00
  2500   $0.01     $27.50
  5000   $0.02    $105.00
 10000   $0.02    $160.00
 15000   $0.02    $240.00</t>
        </r>
      </text>
    </comment>
    <comment ref="A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£0.01     £75.00</t>
        </r>
      </text>
    </comment>
    <comment ref="S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$2.20
    25   $0.21      $5.22
   100   $0.19     $18.92
   250   $0.17     $43.11
   500   $0.16     $80.15
  1000   $0.14    $136.75
  2500   $0.13    $332.38
  8500   $0.13  $1,065.47
 17000   $0.12  $1,988.83</t>
        </r>
      </text>
    </comment>
    <comment ref="Y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£0.17      £1.65
    50   £0.16      £7.80
   100   £0.14     £14.20
   500   £0.12     £60.00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$0.06      $0.63
    30   $0.05      $1.57
   100   $0.04      $4.33
   500   $0.04     $20.85
  1000   $0.04     $41.00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8500   $0.18  $1,513.00
100000   $0.15 $15,000.00</t>
        </r>
      </text>
    </comment>
    <comment ref="S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$2.97
    25   $0.27      $6.70
   100   $0.19     $18.53
   250   $0.16     $39.01
   500   $0.13     $63.39
  1000   $0.10     $97.52
  3000   $0.09    $263.31
  6000   $0.08    $497.34
 15000   $0.08  $1,207.50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£2.70
    10   £0.40      £4.04
   100   £0.20     £20.30
   500   £0.12     £58.50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$0.39      $3.90
    50   $0.39     $19.50
   100   $0.20     $19.50
  1000   $0.11    $113.00
 10000   $0.08    $780.00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$0.54      $2.68
    10   $0.41      $4.09
   100   $0.26     $25.50
  6000   $0.10    $576.00
 18000   $0.09  $1,548.00
 48000   $0.08  $3,792.00
 90000   $0.07  $6,210.00</t>
        </r>
      </text>
    </comment>
    <comment ref="A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£0.05      £1.41
   120   £0.05      £5.52
  1020   £0.04     £45.90
  3000   £0.04    £132.00
  9000   £0.04    £387.00
 24000   £0.04  £1,080.00
 45000   £0.04  £1,980.00
 99000   £0.04  £4,257.00</t>
        </r>
      </text>
    </comment>
    <comment ref="BA3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£0.63
    25   £0.08      £2.02
   100   £0.07      £7.01
   250   £0.06     £15.30
  1000   £0.06     £57.10</t>
        </r>
      </text>
    </comment>
    <comment ref="S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Y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500   £0.19     £94.50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$0.65      $3.23
    10   $0.55      $5.53
   100   $0.41     $41.30</t>
        </r>
      </text>
    </comment>
    <comment ref="A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£5.65
   108   £0.16     £17.39
  1008   £0.12    £121.97
  3000   £0.15    £438.00
  3006   £0.10    £297.59
  9000   £0.15  £1,323.00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$0.35  $1,400.00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$0.70      $7.00
    50   $0.70     $35.00
   100   $0.54     $53.70
  1000   $0.34    $340.00
 10000   $0.31  $3,070.00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Q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$48.12</t>
        </r>
      </text>
    </comment>
    <comment ref="W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£4.35      £4.35
    10   £3.91     £39.10
    25   £3.69     £92.25
    50   £3.62    £181.00</t>
        </r>
      </text>
    </comment>
    <comment ref="AI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$4.92      $4.92
    10   $4.42     $44.20
    50   $4.18    $209.00
   100   $3.62    $362.00
  1000   $3.49  $3,490.00
 10000   $3.49 $34,900.00</t>
        </r>
      </text>
    </comment>
    <comment ref="AO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$48.10
  2450   $4.81 $11,784.50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500   £0.14     £72.00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$1,200.00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$0.26      $2.58
   100   $0.23     $23.20
  3000   $0.13    $393.00
  4000   $0.13    $524.00
  6000   $0.12    $702.00
 12000   $0.11  $1,272.00
 18000   $0.10  $1,764.00
 30000   $0.09  $2,730.00</t>
        </r>
      </text>
    </comment>
    <comment ref="A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£14.75
   100   £0.23     £22.70
  1000   £0.22    £219.00
  4000   £0.20    £820.00
  8000   £0.18  £1,480.00
 24000   £0.08  £1,992.00
 48000   £0.08  £3,648.00
100000   £0.07  £7,300.00</t>
        </r>
      </text>
    </comment>
    <comment ref="BA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£0.85
    25   £0.15      £3.72
   100   £0.13     £12.88
   500   £0.11     £56.24
  2000   £0.10    £209.98</t>
        </r>
      </text>
    </comment>
    <comment ref="M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$0.66      $6.61
    25   $0.65     $16.32
   100   $0.65     $64.53
   250   $0.64    $159.38
   500   $0.63    $314.90
  1000   $0.62    $622.00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25   $0.64     $15.90
   100   $0.58     $58.50
  3000   $0.58  $1,755.00</t>
        </r>
      </text>
    </comment>
    <comment ref="Y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£0.72      £0.72
    25   £0.61     £15.15
   100   £0.56     £55.80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
    10   $0.75      $7.53
    50   $0.64     $31.80
   100   $0.58     $58.50
  1000   $0.58    $585.00
 10000   $0.58  $5,850.00</t>
        </r>
      </text>
    </comment>
    <comment ref="AO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$0.87      $8.66
    25   $0.80     $19.88
    50   $0.76     $38.20
   100   $0.73     $73.10
  3000   $0.58  $1,755.00</t>
        </r>
      </text>
    </comment>
    <comment ref="A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£0.49      £9.86
    40   £0.47     £18.84
   100   £0.42     £42.50
  3000   £0.42  £1,275.00</t>
        </r>
      </text>
    </comment>
    <comment ref="BA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 5   £0.63      £3.15
    25   £0.57     £14.25
   100   £0.52     £52.00</t>
        </r>
      </text>
    </comment>
    <comment ref="M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$1.94      $1.94
    10   $1.76     $17.60
    25   $1.70     $42.41
    50   $1.68     $84.14
   100   $1.56    $155.91
   250   $1.55    $388.65
   500   $1.51    $753.90
  1000   $1.42  $1,419.20
  5000   $1.37  $6,840.00</t>
        </r>
      </text>
    </comment>
    <comment ref="S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Q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£5.87      £5.87
    10   £5.27     £52.70
    25   £4.66    £116.50
    50   £4.57    £228.50
   100   £4.57    £457.00</t>
        </r>
      </text>
    </comment>
    <comment ref="AI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O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$6.93     $69.30
    25   $6.64    $166.00
  2000   $5.43 $10,860.00
  4000   $5.27 $21,080.00
  8000   $4.95 $39,600.00
 12000   $4.72 $56,640.00</t>
        </r>
      </text>
    </comment>
    <comment ref="Q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Y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£1.44      £7.20
    50   £1.21     £60.50
   100   £1.21    £121.00
   250   £1.09    £272.50
   500   £0.96    £482.50
  3000   £0.91  £2,718.00
 15000   £0.89 £13,320.00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$0.90      $0.90
    10   $0.90      $8.96
    25   $0.90     $22.40
    50   $0.90     $44.80
   100   $0.90     $89.60
  1000   $1.34  $1,340.00
  2000   $1.28  $2,560.00
  3000   $1.28  $3,840.00
  4000   $1.17  $4,680.00
  6000   $1.12  $6,720.00
 10000   $1.09 $10,900.00</t>
        </r>
      </text>
    </comment>
    <comment ref="I4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V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B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D44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<sst xmlns="http://schemas.openxmlformats.org/spreadsheetml/2006/main" count="640" uniqueCount="347">
  <si>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</si>
  <si>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</si>
  <si>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</si>
  <si>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</si>
  <si>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</si>
  <si>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</si>
  <si>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</si>
  <si>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</si>
  <si>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</si>
  <si>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</si>
  <si>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</si>
  <si>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</si>
  <si>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</si>
  <si>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</si>
  <si>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</si>
  <si>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</si>
  <si>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</si>
  <si>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</si>
  <si>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C2,C6,C21</t>
  </si>
  <si>
    <t>CAP CER 1uF 6.3V 20% X6S 0201</t>
  </si>
  <si>
    <t>1.2V DC</t>
  </si>
  <si>
    <t>C_0201_0603Metric</t>
  </si>
  <si>
    <t>GRM033C80J105ME05D</t>
  </si>
  <si>
    <t>C4,C5,C14</t>
  </si>
  <si>
    <t>CAP CER 4.7uF 6.3V 20% X5R 0201</t>
  </si>
  <si>
    <t>3.3V DC DERATED TO 1uF</t>
  </si>
  <si>
    <t>GRM035R60J475ME15D</t>
  </si>
  <si>
    <t>C7-C10,C15-C20,C22,C23</t>
  </si>
  <si>
    <t>0.1uF</t>
  </si>
  <si>
    <t>CAP CER 0.22uF 6.3V 20% X5R 0201</t>
  </si>
  <si>
    <t>C7,C18: 1.2V DC DERATED TO 0.1uF
C10: 1.65V DC VAG DERATED TO 0.1uF
C8,C9,C15-C17,C19,C20,C22,C23: 3.3V DC DERATED TO 0.1uF</t>
  </si>
  <si>
    <t>GRM033R60J224KE15D</t>
  </si>
  <si>
    <t>C11</t>
  </si>
  <si>
    <t>CAP CER 4.7uF 16V 20% X5R 0603</t>
  </si>
  <si>
    <t>9V/12V DC DERATED TO 1uF</t>
  </si>
  <si>
    <t>C_0603_1608Metric</t>
  </si>
  <si>
    <t>GRM188R61C475ME11D</t>
  </si>
  <si>
    <t>C12,C13</t>
  </si>
  <si>
    <t>10uF</t>
  </si>
  <si>
    <t>CAP TANT 10uF 6.3V 20% 0603</t>
  </si>
  <si>
    <t>1.65V DC 1.5V AC AUDIO</t>
  </si>
  <si>
    <t>CP_EIA-1608-08_AVX-J</t>
  </si>
  <si>
    <t>Vishay</t>
  </si>
  <si>
    <t>TMCJ0J106MTRF</t>
  </si>
  <si>
    <t>D1</t>
  </si>
  <si>
    <t>SML-LX0201USBC-TR</t>
  </si>
  <si>
    <t>LED BLUE Vf=2.6V If=2mA 15mcd 0201</t>
  </si>
  <si>
    <t>SML-LX0201</t>
  </si>
  <si>
    <t>Lumex</t>
  </si>
  <si>
    <t>D2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</si>
  <si>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</si>
  <si>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</si>
  <si>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</si>
  <si>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</si>
  <si>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</si>
  <si>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</si>
  <si>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</si>
  <si>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</si>
  <si>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</si>
  <si>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</si>
  <si>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</si>
  <si>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</si>
  <si>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</si>
  <si>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</si>
  <si>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</si>
  <si>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</si>
  <si>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</si>
  <si>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</si>
  <si>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</si>
  <si>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TYPE-C-31-M-12</t>
  </si>
  <si>
    <t>CONN USB-C</t>
  </si>
  <si>
    <t>REPLACEMENT PARTS: GCT USB4105</t>
  </si>
  <si>
    <t>USB_C_Receptacle_HRO_TYPE-C-31-M-12</t>
  </si>
  <si>
    <t>HRO</t>
  </si>
  <si>
    <t>R1,R2,R13,R14</t>
  </si>
  <si>
    <t>2.2k</t>
  </si>
  <si>
    <t>RES 2.2kΩ 50mW 5% 0201</t>
  </si>
  <si>
    <t>R_0201_0603Metric</t>
  </si>
  <si>
    <t>Panasonic</t>
  </si>
  <si>
    <t>ERJ-1GNJ222C</t>
  </si>
  <si>
    <t>R3</t>
  </si>
  <si>
    <t>1.5k</t>
  </si>
  <si>
    <t>RES 1.5kΩ 50mW 5% 0201</t>
  </si>
  <si>
    <t>ERJ-1GNJ152C</t>
  </si>
  <si>
    <t>R4</t>
  </si>
  <si>
    <t>100k</t>
  </si>
  <si>
    <t>RES 100kΩ 50mW 1% 0201</t>
  </si>
  <si>
    <t>ERJ-1GNF1003C</t>
  </si>
  <si>
    <t>R5-R7</t>
  </si>
  <si>
    <t>20k</t>
  </si>
  <si>
    <t>RES 20kΩ 50mW 1% 0201</t>
  </si>
  <si>
    <t>ERJ-1GNF2002C</t>
  </si>
  <si>
    <t>R8,R12,R15,R16</t>
  </si>
  <si>
    <t>10k</t>
  </si>
  <si>
    <t>RES 10kΩ 50mW 1% 0201</t>
  </si>
  <si>
    <t>ERJ-1GNF1002C</t>
  </si>
  <si>
    <t>R9,R10</t>
  </si>
  <si>
    <t>5.1k</t>
  </si>
  <si>
    <t>RES 5.1kΩ 50mW 5% 0201</t>
  </si>
  <si>
    <t>ERJ-1GNJ512C</t>
  </si>
  <si>
    <t>R11</t>
  </si>
  <si>
    <t>100</t>
  </si>
  <si>
    <t>RES 100Ω 50mW 5% 0201</t>
  </si>
  <si>
    <t>ERJ-1GNJ101C</t>
  </si>
  <si>
    <t>R17,R18</t>
  </si>
  <si>
    <t>0</t>
  </si>
  <si>
    <t>RES 0Ω 50mW 1% 0201</t>
  </si>
  <si>
    <t>ERJ-1GN0R00C</t>
  </si>
  <si>
    <t>R19</t>
  </si>
  <si>
    <t>22</t>
  </si>
  <si>
    <t>RES 22Ω 50mW 1% 0201</t>
  </si>
  <si>
    <t>ERJ-1GNF22R0C</t>
  </si>
  <si>
    <t>SW1</t>
  </si>
  <si>
    <t>KXT311LHS</t>
  </si>
  <si>
    <t>SW TACT 100gf 3.0x2.0 mm</t>
  </si>
  <si>
    <t>SW_SPST_CK_KXT3</t>
  </si>
  <si>
    <t>C&amp;K</t>
  </si>
  <si>
    <t>TP1-TP3</t>
  </si>
  <si>
    <t>TestPoint</t>
  </si>
  <si>
    <t>TestPoint_Pad_D0.75mm</t>
  </si>
  <si>
    <t>U1,U3</t>
  </si>
  <si>
    <t>NCP115AMX120TCG</t>
  </si>
  <si>
    <t>IC REG LDO 1.2V 300mA XDFN4</t>
  </si>
  <si>
    <t>CASE_711AJ_1.0x1.0mm_P0.65mm</t>
  </si>
  <si>
    <t>onsemi</t>
  </si>
  <si>
    <t>U2</t>
  </si>
  <si>
    <t>NCP167AMX330TBG</t>
  </si>
  <si>
    <t>IC REG LDO 3.3V 700mA XDFN4</t>
  </si>
  <si>
    <t>U4</t>
  </si>
  <si>
    <t>LM66200</t>
  </si>
  <si>
    <t>IC DUAL IDEAL DIODE</t>
  </si>
  <si>
    <t>SOT-5X3</t>
  </si>
  <si>
    <t>TI</t>
  </si>
  <si>
    <t>LM66200DRLR</t>
  </si>
  <si>
    <t>U5</t>
  </si>
  <si>
    <t>SN74CBTD16211DGVR</t>
  </si>
  <si>
    <t>IC BUS SWITCH WITH LEVEL SHIFTER TVSOP-56</t>
  </si>
  <si>
    <t>Texas_TVSOP-56_4.4x11.3mm_P0.4mm</t>
  </si>
  <si>
    <t>U6</t>
  </si>
  <si>
    <t>SGTL5000XNLA3</t>
  </si>
  <si>
    <t>IC AUDIO CODEC UQFN-20</t>
  </si>
  <si>
    <t>ALTERNATIVE PART #: SGTL5000XNLA3R2</t>
  </si>
  <si>
    <t>QFN-20-1EP_3x3mm_P0.4mm_EP1.65x1.65mm</t>
  </si>
  <si>
    <t>NXP</t>
  </si>
  <si>
    <t>U7</t>
  </si>
  <si>
    <t>NUF2042XV6</t>
  </si>
  <si>
    <t>IC USB TERMINATOR ESD PROTECTION SOT-563</t>
  </si>
  <si>
    <t>SOT-563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</si>
  <si>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</si>
  <si>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</si>
  <si>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</si>
  <si>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</si>
  <si>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</si>
  <si>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</si>
  <si>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</si>
  <si>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LY68L6400SLIT</t>
  </si>
  <si>
    <t>IC PSRAM 64Mbit SOP-8</t>
  </si>
  <si>
    <t>REPLACEMENT PARTS: AP Memory APS6404L-3SQR-SN, Espressif ESP-PSRAM64H, IPUS IPS6404L-SQ</t>
  </si>
  <si>
    <t>SOP-8_3.9x4.9mm_P1.27mm</t>
  </si>
  <si>
    <t>Lyontek</t>
  </si>
  <si>
    <t>U10</t>
  </si>
  <si>
    <t>W25Q128JVPIM</t>
  </si>
  <si>
    <t>IC FLASH 128Mbit WSON-8</t>
  </si>
  <si>
    <t>ALTERNATIVE PART #: W25Q128JVPIM TR</t>
  </si>
  <si>
    <t>WSON-8-1EP_6x5mm_P1.27mm_EP3.4x4.3mm</t>
  </si>
  <si>
    <t>Winbond</t>
  </si>
  <si>
    <t>U11</t>
  </si>
  <si>
    <t>ICE40UP5K-SG48I</t>
  </si>
  <si>
    <t>IC FPGA QFN-48</t>
  </si>
  <si>
    <t>QFN-48-1EP_7x7mm_P0.5mm_EP5.6x5.6mm</t>
  </si>
  <si>
    <t>Lattice</t>
  </si>
  <si>
    <t>X1</t>
  </si>
  <si>
    <t>ASCO-24.000MHZ-EK-T3</t>
  </si>
  <si>
    <t>OSC 24 MHz 30 ppm 1.6x1.2 mm</t>
  </si>
  <si>
    <t>REPLACEMENT PARTS: ECS ECS-1612MV-240-CN-TR</t>
  </si>
  <si>
    <t>Oscillator_SMD-4Pin_1.6x1.2mm</t>
  </si>
  <si>
    <t>Abracon</t>
  </si>
  <si>
    <t>Arrow</t>
  </si>
  <si>
    <t>Avail</t>
  </si>
  <si>
    <t>Purch</t>
  </si>
  <si>
    <t>MOQ</t>
  </si>
  <si>
    <t>Cat#</t>
  </si>
  <si>
    <t>SMLLX0201USBCTR</t>
  </si>
  <si>
    <t>ERJ1GNJ222C</t>
  </si>
  <si>
    <t>ERJ1GNF1003C</t>
  </si>
  <si>
    <t>ERJ1GNF2002C</t>
  </si>
  <si>
    <t>ERJ1GNF1002C</t>
  </si>
  <si>
    <t>ERJ1GNJ101C</t>
  </si>
  <si>
    <t>ERJ1GN0R00C</t>
  </si>
  <si>
    <t>ERJ1GNF22R0C</t>
  </si>
  <si>
    <t>MCP6H01TE/OT</t>
  </si>
  <si>
    <t>Buy here</t>
  </si>
  <si>
    <t>Digi-Key</t>
  </si>
  <si>
    <t>490-14595-1-ND</t>
  </si>
  <si>
    <t>490-13218-1-ND</t>
  </si>
  <si>
    <t>NonStk</t>
  </si>
  <si>
    <t>490-13230-1-ND</t>
  </si>
  <si>
    <t>490-10406-1-ND</t>
  </si>
  <si>
    <t>490-14638-1-ND</t>
  </si>
  <si>
    <t>718-2355-1-ND</t>
  </si>
  <si>
    <t>67-2283-1-ND</t>
  </si>
  <si>
    <t>67-2282-1-ND</t>
  </si>
  <si>
    <t>P123277CT-ND</t>
  </si>
  <si>
    <t>P123246CT-ND</t>
  </si>
  <si>
    <t>P122655CT-ND</t>
  </si>
  <si>
    <t>P122813CT-ND</t>
  </si>
  <si>
    <t>P122414CT-ND</t>
  </si>
  <si>
    <t>P123340CT-ND</t>
  </si>
  <si>
    <t>P123220CT-ND</t>
  </si>
  <si>
    <t>P15979CT-ND</t>
  </si>
  <si>
    <t>P122843CT-ND</t>
  </si>
  <si>
    <t>CKN10777CT-ND</t>
  </si>
  <si>
    <t>NCP115AMX120TCGOSCT-ND</t>
  </si>
  <si>
    <t>NCP167AMX330TBGOSCT-ND</t>
  </si>
  <si>
    <t>296-LM66200DRLRTR-ND</t>
  </si>
  <si>
    <t>296-6475-2-ND</t>
  </si>
  <si>
    <t>SGTL5000XNLA3-ND</t>
  </si>
  <si>
    <t>NUF2042XV6T1GOSCT-ND</t>
  </si>
  <si>
    <t>MCP6H01T-E/OTCT-ND</t>
  </si>
  <si>
    <t>W25Q128JVPIM-ND</t>
  </si>
  <si>
    <t>220-2212-1-ND</t>
  </si>
  <si>
    <t>535-12073-1-ND</t>
  </si>
  <si>
    <t>Farnell</t>
  </si>
  <si>
    <t>3581345</t>
  </si>
  <si>
    <t>3582762</t>
  </si>
  <si>
    <t>3238402</t>
  </si>
  <si>
    <t>2990684</t>
  </si>
  <si>
    <t>3581379</t>
  </si>
  <si>
    <t>2491414</t>
  </si>
  <si>
    <t>2775247</t>
  </si>
  <si>
    <t>2775246</t>
  </si>
  <si>
    <t>3303211</t>
  </si>
  <si>
    <t>3303177</t>
  </si>
  <si>
    <t>2302389</t>
  </si>
  <si>
    <t>2302370</t>
  </si>
  <si>
    <t>2302362</t>
  </si>
  <si>
    <t>3303281</t>
  </si>
  <si>
    <t>3303148</t>
  </si>
  <si>
    <t>2799511</t>
  </si>
  <si>
    <t>2302291</t>
  </si>
  <si>
    <t>3023197</t>
  </si>
  <si>
    <t>3010452</t>
  </si>
  <si>
    <t>2981158</t>
  </si>
  <si>
    <t>2308050</t>
  </si>
  <si>
    <t>2824959</t>
  </si>
  <si>
    <t>2851675</t>
  </si>
  <si>
    <t>3768741</t>
  </si>
  <si>
    <t>3573055</t>
  </si>
  <si>
    <t>LCSC</t>
  </si>
  <si>
    <t>C437523</t>
  </si>
  <si>
    <t>C385023</t>
  </si>
  <si>
    <t>C335103</t>
  </si>
  <si>
    <t>C76931</t>
  </si>
  <si>
    <t>C415373</t>
  </si>
  <si>
    <t>C165948</t>
  </si>
  <si>
    <t>C717003</t>
  </si>
  <si>
    <t>C713490</t>
  </si>
  <si>
    <t>C717002</t>
  </si>
  <si>
    <t>C713500</t>
  </si>
  <si>
    <t>C717006</t>
  </si>
  <si>
    <t>C221820</t>
  </si>
  <si>
    <t>Mouser</t>
  </si>
  <si>
    <t>81GRM155C81C225KE1D</t>
  </si>
  <si>
    <t>81GRM033C80J105ME5D</t>
  </si>
  <si>
    <t>81GRM035R60J475ME5D</t>
  </si>
  <si>
    <t>81GRM33R60J224KE15D</t>
  </si>
  <si>
    <t>81GRM188R61C475ME1D</t>
  </si>
  <si>
    <t>74TMCJ0J106MTRF</t>
  </si>
  <si>
    <t>696SMLLX0201USBCTR</t>
  </si>
  <si>
    <t>696SMLLX0201UPGCTR</t>
  </si>
  <si>
    <t>667ERJ1GNJ222C</t>
  </si>
  <si>
    <t>667ERJ1GNJ152C</t>
  </si>
  <si>
    <t>667ERJ1GNF1003C</t>
  </si>
  <si>
    <t>667ERJ1GNF2002C</t>
  </si>
  <si>
    <t>667ERJ1GNF1002C</t>
  </si>
  <si>
    <t>667ERJ1GNJ512C</t>
  </si>
  <si>
    <t>667ERJ1GNJ101C</t>
  </si>
  <si>
    <t>667ERJ1GN0R00C</t>
  </si>
  <si>
    <t>667ERJ1GNF22R0C</t>
  </si>
  <si>
    <t>611KXT311LHS</t>
  </si>
  <si>
    <t>863NCP115AMX120TCG</t>
  </si>
  <si>
    <t>863NCP167AMX330TBG</t>
  </si>
  <si>
    <t>595LM66200DRLR</t>
  </si>
  <si>
    <t>59574CBTD16211DGVR</t>
  </si>
  <si>
    <t>841SGTL5000XNLA3</t>
  </si>
  <si>
    <t>863NUF2042XV6T1G</t>
  </si>
  <si>
    <t>579MCP6H01TE/OT</t>
  </si>
  <si>
    <t>842ICE40UP5KSG48I</t>
  </si>
  <si>
    <t>815ASCO24EKT3</t>
  </si>
  <si>
    <t>Newark</t>
  </si>
  <si>
    <t>92AH5000</t>
  </si>
  <si>
    <t>03AJ1531</t>
  </si>
  <si>
    <t>34AH0743</t>
  </si>
  <si>
    <t>94AC8892</t>
  </si>
  <si>
    <t>92AH5109</t>
  </si>
  <si>
    <t>56Y0084</t>
  </si>
  <si>
    <t>30AC6125</t>
  </si>
  <si>
    <t>30AC6124</t>
  </si>
  <si>
    <t>51W5827</t>
  </si>
  <si>
    <t>51W5799</t>
  </si>
  <si>
    <t>85Y7485</t>
  </si>
  <si>
    <t>36AJ9148</t>
  </si>
  <si>
    <t>85Y7484</t>
  </si>
  <si>
    <t>51W5889</t>
  </si>
  <si>
    <t>51W5773</t>
  </si>
  <si>
    <t>51W5934</t>
  </si>
  <si>
    <t>05X8814</t>
  </si>
  <si>
    <t>39AH6819</t>
  </si>
  <si>
    <t>97AC7838</t>
  </si>
  <si>
    <t>84AC7230</t>
  </si>
  <si>
    <t>14R9111</t>
  </si>
  <si>
    <t>46AC1428</t>
  </si>
  <si>
    <t>55AC2730</t>
  </si>
  <si>
    <t>50AJ3298</t>
  </si>
  <si>
    <t>89AH0815</t>
  </si>
  <si>
    <t>RS Components</t>
  </si>
  <si>
    <t>1852023</t>
  </si>
  <si>
    <t>1882240</t>
  </si>
  <si>
    <t>1797128</t>
  </si>
  <si>
    <t>1797145</t>
  </si>
  <si>
    <t>1797130</t>
  </si>
  <si>
    <t>1763597</t>
  </si>
  <si>
    <t>1797129</t>
  </si>
  <si>
    <t>1763574</t>
  </si>
  <si>
    <t>1797146</t>
  </si>
  <si>
    <t>1861527</t>
  </si>
  <si>
    <t>1859325</t>
  </si>
  <si>
    <t>8051879</t>
  </si>
  <si>
    <t>1773191</t>
  </si>
  <si>
    <t>TME</t>
  </si>
  <si>
    <t>SMLLX0201UPGCTR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</si>
  <si>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</si>
  <si>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</si>
  <si>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</si>
  <si>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</si>
  <si>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</si>
  <si>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</si>
  <si>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</si>
  <si>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</si>
  <si>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</si>
  <si>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lø. 12. feb. 2022 kl. 19.23 +0100</t>
  </si>
  <si>
    <t>Board Qty:</t>
  </si>
  <si>
    <t>Total Cost:</t>
  </si>
  <si>
    <t>Unit Cost:</t>
  </si>
  <si>
    <t>$ date:</t>
  </si>
  <si>
    <t>2022-02-12 19:23:41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</si>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</sst>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b165bb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ai=8078&amp;sig=0cdb919&amp;sid=2401&amp;ppid=46692789&amp;vpid=230758256&amp;ct=offers" TargetMode="External"/><Relationship Id="rId6" Type="http://schemas.openxmlformats.org/officeDocument/2006/relationships/hyperlink" Target="https://octopart.com/click/track?ai=8078&amp;sig=0849c23&amp;sid=2402&amp;ppid=46692789&amp;vpid=669036303&amp;ct=offers" TargetMode="External"/><Relationship Id="rId7" Type="http://schemas.openxmlformats.org/officeDocument/2006/relationships/hyperlink" Target="https://www.murata.com/products/productdetail.aspx?partno=GRM033C80J105ME05D" TargetMode="External"/><Relationship Id="rId8" Type="http://schemas.openxmlformats.org/officeDocument/2006/relationships/hyperlink" Target="https://octopart.com/click/track?ai=8078&amp;sig=094e468&amp;sid=1106&amp;ppid=71220979&amp;vpid=473331182&amp;ct=offers" TargetMode="External"/><Relationship Id="rId9" Type="http://schemas.openxmlformats.org/officeDocument/2006/relationships/hyperlink" Target="https://octopart.com/click/track?c=1&amp;ai=8078&amp;sig=07524e2&amp;sid=459&amp;ppid=71220979&amp;vpid=252726184&amp;ct=offers" TargetMode="External"/><Relationship Id="rId10" Type="http://schemas.openxmlformats.org/officeDocument/2006/relationships/hyperlink" Target="https://octopart.com/click/track?c=1&amp;ai=8078&amp;sig=013a2f0&amp;sid=819&amp;ppid=71220979&amp;vpid=670691828&amp;ct=offers" TargetMode="External"/><Relationship Id="rId11" Type="http://schemas.openxmlformats.org/officeDocument/2006/relationships/hyperlink" Target="https://octopart.com/click/track?ai=8078&amp;sig=05d4785&amp;sid=27971&amp;ppid=71220979&amp;vpid=552547217&amp;ct=offers" TargetMode="External"/><Relationship Id="rId12" Type="http://schemas.openxmlformats.org/officeDocument/2006/relationships/hyperlink" Target="https://octopart.com/click/track?c=1&amp;ai=8078&amp;sig=0ba034f&amp;sid=2401&amp;ppid=71220979&amp;vpid=262231651&amp;ct=offers" TargetMode="External"/><Relationship Id="rId13" Type="http://schemas.openxmlformats.org/officeDocument/2006/relationships/hyperlink" Target="https://octopart.com/click/track?c=1&amp;ai=8078&amp;sig=0e14f17&amp;sid=2402&amp;ppid=71220979&amp;vpid=671481163&amp;ct=offers" TargetMode="External"/><Relationship Id="rId14" Type="http://schemas.openxmlformats.org/officeDocument/2006/relationships/hyperlink" Target="https://www.murata.com/products/productdetail.aspx?partno=GRM035R60J475ME15D" TargetMode="External"/><Relationship Id="rId15" Type="http://schemas.openxmlformats.org/officeDocument/2006/relationships/hyperlink" Target="https://octopart.com/click/track?ai=8078&amp;sig=0a2952a&amp;sid=1106&amp;ppid=67141176&amp;vpid=477055386&amp;ct=offers" TargetMode="External"/><Relationship Id="rId16" Type="http://schemas.openxmlformats.org/officeDocument/2006/relationships/hyperlink" Target="https://octopart.com/click/track?ai=8078&amp;sig=02d1bd9&amp;sid=459&amp;ppid=67141176&amp;vpid=252726416&amp;ct=offers" TargetMode="External"/><Relationship Id="rId17" Type="http://schemas.openxmlformats.org/officeDocument/2006/relationships/hyperlink" Target="https://octopart.com/click/track?ai=8078&amp;sig=087aedd&amp;sid=11744&amp;ppid=67141176&amp;vpid=585909672&amp;ct=offers" TargetMode="External"/><Relationship Id="rId18" Type="http://schemas.openxmlformats.org/officeDocument/2006/relationships/hyperlink" Target="https://octopart.com/click/track?ai=8078&amp;sig=0ec1763&amp;sid=27971&amp;ppid=67141176&amp;vpid=510777411&amp;ct=offers" TargetMode="External"/><Relationship Id="rId19" Type="http://schemas.openxmlformats.org/officeDocument/2006/relationships/hyperlink" Target="https://octopart.com/click/track?ai=8078&amp;sig=0e8e022&amp;sid=2401&amp;ppid=67141176&amp;vpid=262254328&amp;ct=offers" TargetMode="External"/><Relationship Id="rId20" Type="http://schemas.openxmlformats.org/officeDocument/2006/relationships/hyperlink" Target="https://octopart.com/click/track?ai=8078&amp;sig=02cfcbc&amp;sid=2402&amp;ppid=67141176&amp;vpid=587966703&amp;ct=offers" TargetMode="External"/><Relationship Id="rId21" Type="http://schemas.openxmlformats.org/officeDocument/2006/relationships/hyperlink" Target="https://www.murata.com/products/productdetail.aspx?partno=GRM033R60J224KE15D" TargetMode="External"/><Relationship Id="rId22" Type="http://schemas.openxmlformats.org/officeDocument/2006/relationships/hyperlink" Target="https://octopart.com/click/track?ai=8078&amp;sig=09c24fd&amp;sid=1106&amp;ppid=51454422&amp;vpid=485847787&amp;ct=offers" TargetMode="External"/><Relationship Id="rId23" Type="http://schemas.openxmlformats.org/officeDocument/2006/relationships/hyperlink" Target="https://octopart.com/click/track?ai=8078&amp;sig=0492ec2&amp;sid=459&amp;ppid=51454422&amp;vpid=172161550&amp;ct=offers" TargetMode="External"/><Relationship Id="rId24" Type="http://schemas.openxmlformats.org/officeDocument/2006/relationships/hyperlink" Target="https://octopart.com/click/track?ai=8078&amp;sig=00c315f&amp;sid=11744&amp;ppid=51454422&amp;vpid=528084476&amp;ct=offers" TargetMode="External"/><Relationship Id="rId25" Type="http://schemas.openxmlformats.org/officeDocument/2006/relationships/hyperlink" Target="https://octopart.com/click/track?ai=8078&amp;sig=0f2788c&amp;sid=27971&amp;ppid=51454422&amp;vpid=445986847&amp;ct=offers" TargetMode="External"/><Relationship Id="rId26" Type="http://schemas.openxmlformats.org/officeDocument/2006/relationships/hyperlink" Target="https://octopart.com/click/track?ai=8078&amp;sig=0207666&amp;sid=2401&amp;ppid=51454422&amp;vpid=178169497&amp;ct=offers" TargetMode="External"/><Relationship Id="rId27" Type="http://schemas.openxmlformats.org/officeDocument/2006/relationships/hyperlink" Target="https://octopart.com/click/track?ai=8078&amp;sig=0d37eed&amp;sid=2402&amp;ppid=51454422&amp;vpid=529126546&amp;ct=offers" TargetMode="External"/><Relationship Id="rId28" Type="http://schemas.openxmlformats.org/officeDocument/2006/relationships/hyperlink" Target="https://octopart.com/click/track?ai=8078&amp;sig=0fe5791&amp;sid=10022&amp;ppid=51454422&amp;vpid=562632809&amp;ct=offers" TargetMode="External"/><Relationship Id="rId29" Type="http://schemas.openxmlformats.org/officeDocument/2006/relationships/hyperlink" Target="https://www.murata.com/products/productdetail.aspx?partno=GRM188R61C475ME11D" TargetMode="External"/><Relationship Id="rId30" Type="http://schemas.openxmlformats.org/officeDocument/2006/relationships/hyperlink" Target="https://octopart.com/click/track?ai=8078&amp;sig=051f50a&amp;sid=1106&amp;ppid=46693351&amp;vpid=474736911&amp;ct=offers" TargetMode="External"/><Relationship Id="rId31" Type="http://schemas.openxmlformats.org/officeDocument/2006/relationships/hyperlink" Target="https://octopart.com/click/track?ai=8078&amp;sig=016baab&amp;sid=459&amp;ppid=46693351&amp;vpid=410305374&amp;ct=offers" TargetMode="External"/><Relationship Id="rId32" Type="http://schemas.openxmlformats.org/officeDocument/2006/relationships/hyperlink" Target="https://octopart.com/click/track?ai=8078&amp;sig=0fe4442&amp;sid=819&amp;ppid=46693351&amp;vpid=666721196&amp;ct=offers" TargetMode="External"/><Relationship Id="rId33" Type="http://schemas.openxmlformats.org/officeDocument/2006/relationships/hyperlink" Target="https://octopart.com/click/track?ai=8078&amp;sig=09b8947&amp;sid=27971&amp;ppid=46693351&amp;vpid=583025469&amp;ct=offers" TargetMode="External"/><Relationship Id="rId34" Type="http://schemas.openxmlformats.org/officeDocument/2006/relationships/hyperlink" Target="https://octopart.com/click/track?ai=8078&amp;sig=0769423&amp;sid=2401&amp;ppid=46693351&amp;vpid=238592031&amp;ct=offers" TargetMode="External"/><Relationship Id="rId35" Type="http://schemas.openxmlformats.org/officeDocument/2006/relationships/hyperlink" Target="https://octopart.com/click/track?ai=8078&amp;sig=07b4992&amp;sid=2402&amp;ppid=46693351&amp;vpid=669036411&amp;ct=offers" TargetMode="External"/><Relationship Id="rId36" Type="http://schemas.openxmlformats.org/officeDocument/2006/relationships/hyperlink" Target="https://octopart.com/click/track?c=1&amp;ai=8078&amp;sig=0f93a07&amp;sid=459&amp;ppid=51468669&amp;vpid=542012103&amp;ct=offers" TargetMode="External"/><Relationship Id="rId37" Type="http://schemas.openxmlformats.org/officeDocument/2006/relationships/hyperlink" Target="https://octopart.com/click/track?c=1&amp;ai=8078&amp;sig=0142d8e&amp;sid=819&amp;ppid=51468669&amp;vpid=227400135&amp;ct=offers" TargetMode="External"/><Relationship Id="rId38" Type="http://schemas.openxmlformats.org/officeDocument/2006/relationships/hyperlink" Target="https://octopart.com/click/track?ai=8078&amp;sig=043ec4f&amp;sid=2401&amp;ppid=51468669&amp;vpid=222364962&amp;ct=offers" TargetMode="External"/><Relationship Id="rId39" Type="http://schemas.openxmlformats.org/officeDocument/2006/relationships/hyperlink" Target="https://octopart.com/click/track?c=1&amp;ai=8078&amp;sig=01aab72&amp;sid=2402&amp;ppid=51468669&amp;vpid=228374112&amp;ct=offers" TargetMode="External"/><Relationship Id="rId40" Type="http://schemas.openxmlformats.org/officeDocument/2006/relationships/hyperlink" Target="https://octopart.com/click/track?ai=8078&amp;sig=074f439&amp;sid=10022&amp;ppid=51468669&amp;vpid=562995447&amp;ct=offers" TargetMode="External"/><Relationship Id="rId41" Type="http://schemas.openxmlformats.org/officeDocument/2006/relationships/hyperlink" Target="https://octopart.com/click/track?ai=8078&amp;sig=089e577&amp;sid=1106&amp;ppid=84788744&amp;vpid=485730355&amp;ct=offers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c=1&amp;ai=8078&amp;sig=0ac7c46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c=1&amp;ai=8078&amp;sig=0c194d8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octopart.com/click/track?ai=8078&amp;sig=055564d&amp;sid=459&amp;ppid=84788743&amp;vpid=439727363&amp;ct=offers" TargetMode="External"/><Relationship Id="rId48" Type="http://schemas.openxmlformats.org/officeDocument/2006/relationships/hyperlink" Target="https://octopart.com/click/track?ai=8078&amp;sig=0fcbf2b&amp;sid=819&amp;ppid=84788743&amp;vpid=441301075&amp;ct=offers" TargetMode="External"/><Relationship Id="rId49" Type="http://schemas.openxmlformats.org/officeDocument/2006/relationships/hyperlink" Target="https://octopart.com/click/track?ai=8078&amp;sig=0bea5b7&amp;sid=2401&amp;ppid=84788743&amp;vpid=440311375&amp;ct=offers" TargetMode="External"/><Relationship Id="rId50" Type="http://schemas.openxmlformats.org/officeDocument/2006/relationships/hyperlink" Target="https://octopart.com/click/track?ai=8078&amp;sig=00c45d4&amp;sid=2402&amp;ppid=84788743&amp;vpid=441141494&amp;ct=offers" TargetMode="External"/><Relationship Id="rId51" Type="http://schemas.openxmlformats.org/officeDocument/2006/relationships/hyperlink" Target="https://octopart.com/click/track?ai=8078&amp;sig=0371ed3&amp;sid=1532&amp;ppid=84788743&amp;vpid=709065379&amp;ct=offers" TargetMode="External"/><Relationship Id="rId52" Type="http://schemas.openxmlformats.org/officeDocument/2006/relationships/hyperlink" Target="http://www.krhro.com/uploads/soft/180320/1-1P320120243.pdf" TargetMode="External"/><Relationship Id="rId53" Type="http://schemas.openxmlformats.org/officeDocument/2006/relationships/hyperlink" Target="https://octopart.com/click/track?ai=8078&amp;sig=0bf3cd2&amp;sid=27971&amp;ppid=99357592&amp;vpid=531406307&amp;ct=offers" TargetMode="External"/><Relationship Id="rId54" Type="http://schemas.openxmlformats.org/officeDocument/2006/relationships/hyperlink" Target="https://industrial.panasonic.com/ww/products/pt/general-purpose-chip-resistors/models/ERJ1GNJ222C" TargetMode="External"/><Relationship Id="rId55" Type="http://schemas.openxmlformats.org/officeDocument/2006/relationships/hyperlink" Target="https://octopart.com/click/track?ai=8078&amp;sig=05ea2d5&amp;sid=1106&amp;ppid=44403350&amp;vpid=473398349&amp;ct=offers" TargetMode="External"/><Relationship Id="rId56" Type="http://schemas.openxmlformats.org/officeDocument/2006/relationships/hyperlink" Target="https://octopart.com/click/track?ai=8078&amp;sig=0fe0904&amp;sid=459&amp;ppid=44403350&amp;vpid=465235292&amp;ct=offers" TargetMode="External"/><Relationship Id="rId57" Type="http://schemas.openxmlformats.org/officeDocument/2006/relationships/hyperlink" Target="https://octopart.com/click/track?c=1&amp;ai=8078&amp;sig=098df08&amp;sid=819&amp;ppid=44403350&amp;vpid=603690887&amp;ct=offers" TargetMode="External"/><Relationship Id="rId58" Type="http://schemas.openxmlformats.org/officeDocument/2006/relationships/hyperlink" Target="https://octopart.com/click/track?ai=8078&amp;sig=07d1d1b&amp;sid=2401&amp;ppid=44403350&amp;vpid=248150297&amp;ct=offers" TargetMode="External"/><Relationship Id="rId59" Type="http://schemas.openxmlformats.org/officeDocument/2006/relationships/hyperlink" Target="https://octopart.com/click/track?c=1&amp;ai=8078&amp;sig=01bc52e&amp;sid=2402&amp;ppid=44403350&amp;vpid=632042349&amp;ct=offers" TargetMode="External"/><Relationship Id="rId60" Type="http://schemas.openxmlformats.org/officeDocument/2006/relationships/hyperlink" Target="https://octopart.com/click/track?ai=8078&amp;sig=0a098df&amp;sid=10022&amp;ppid=44403350&amp;vpid=577025041&amp;ct=offers" TargetMode="External"/><Relationship Id="rId61" Type="http://schemas.openxmlformats.org/officeDocument/2006/relationships/hyperlink" Target="https://industrial.panasonic.com/ww/products/pt/general-purpose-chip-resistors/models/ERJ1GNJ152C" TargetMode="External"/><Relationship Id="rId62" Type="http://schemas.openxmlformats.org/officeDocument/2006/relationships/hyperlink" Target="https://octopart.com/click/track?ai=8078&amp;sig=06f5537&amp;sid=459&amp;ppid=55940368&amp;vpid=465235230&amp;ct=offers" TargetMode="External"/><Relationship Id="rId63" Type="http://schemas.openxmlformats.org/officeDocument/2006/relationships/hyperlink" Target="https://octopart.com/click/track?c=1&amp;ai=8078&amp;sig=031cc2c&amp;sid=819&amp;ppid=55940368&amp;vpid=603690856&amp;ct=offers" TargetMode="External"/><Relationship Id="rId64" Type="http://schemas.openxmlformats.org/officeDocument/2006/relationships/hyperlink" Target="https://octopart.com/click/track?ai=8078&amp;sig=01a465a&amp;sid=2401&amp;ppid=55940368&amp;vpid=165486557&amp;ct=offers" TargetMode="External"/><Relationship Id="rId65" Type="http://schemas.openxmlformats.org/officeDocument/2006/relationships/hyperlink" Target="https://octopart.com/click/track?c=1&amp;ai=8078&amp;sig=0e5d5c9&amp;sid=2402&amp;ppid=55940368&amp;vpid=192308633&amp;ct=offers" TargetMode="External"/><Relationship Id="rId66" Type="http://schemas.openxmlformats.org/officeDocument/2006/relationships/hyperlink" Target="https://octopart.com/click/track?ai=8078&amp;sig=08f769b&amp;sid=10022&amp;ppid=55940368&amp;vpid=577025035&amp;ct=offers" TargetMode="External"/><Relationship Id="rId67" Type="http://schemas.openxmlformats.org/officeDocument/2006/relationships/hyperlink" Target="https://industrial.panasonic.com/ww/products/pt/general-purpose-chip-resistors/models/ERJ1GNF1003C" TargetMode="External"/><Relationship Id="rId68" Type="http://schemas.openxmlformats.org/officeDocument/2006/relationships/hyperlink" Target="https://octopart.com/click/track?ai=8078&amp;sig=0bf818b&amp;sid=1106&amp;ppid=55419699&amp;vpid=473398247&amp;ct=offers" TargetMode="External"/><Relationship Id="rId69" Type="http://schemas.openxmlformats.org/officeDocument/2006/relationships/hyperlink" Target="https://octopart.com/click/track?ai=8078&amp;sig=05b0c10&amp;sid=459&amp;ppid=55419699&amp;vpid=465234048&amp;ct=offers" TargetMode="External"/><Relationship Id="rId70" Type="http://schemas.openxmlformats.org/officeDocument/2006/relationships/hyperlink" Target="https://octopart.com/click/track?ai=8078&amp;sig=06682e6&amp;sid=11744&amp;ppid=55419699&amp;vpid=132575578&amp;ct=offers" TargetMode="External"/><Relationship Id="rId71" Type="http://schemas.openxmlformats.org/officeDocument/2006/relationships/hyperlink" Target="https://octopart.com/click/track?ai=8078&amp;sig=016ffb6&amp;sid=27971&amp;ppid=55419699&amp;vpid=669037555&amp;ct=offers" TargetMode="External"/><Relationship Id="rId72" Type="http://schemas.openxmlformats.org/officeDocument/2006/relationships/hyperlink" Target="https://octopart.com/click/track?ai=8078&amp;sig=0f53f81&amp;sid=2401&amp;ppid=55419699&amp;vpid=187838587&amp;ct=offers" TargetMode="External"/><Relationship Id="rId73" Type="http://schemas.openxmlformats.org/officeDocument/2006/relationships/hyperlink" Target="https://octopart.com/click/track?ai=8078&amp;sig=06ff9cf&amp;sid=2402&amp;ppid=55419699&amp;vpid=423915173&amp;ct=offers" TargetMode="External"/><Relationship Id="rId74" Type="http://schemas.openxmlformats.org/officeDocument/2006/relationships/hyperlink" Target="https://octopart.com/click/track?ai=8078&amp;sig=0de3a6c&amp;sid=10022&amp;ppid=55419699&amp;vpid=577025004&amp;ct=offers" TargetMode="External"/><Relationship Id="rId75" Type="http://schemas.openxmlformats.org/officeDocument/2006/relationships/hyperlink" Target="https://industrial.panasonic.com/ww/products/pt/general-purpose-chip-resistors/models/ERJ1GNF2002C" TargetMode="External"/><Relationship Id="rId76" Type="http://schemas.openxmlformats.org/officeDocument/2006/relationships/hyperlink" Target="https://octopart.com/click/track?ai=8078&amp;sig=000be19&amp;sid=1106&amp;ppid=55419770&amp;vpid=473398269&amp;ct=offers" TargetMode="External"/><Relationship Id="rId77" Type="http://schemas.openxmlformats.org/officeDocument/2006/relationships/hyperlink" Target="https://octopart.com/click/track?ai=8078&amp;sig=0acc234&amp;sid=459&amp;ppid=55419770&amp;vpid=465234364&amp;ct=offers" TargetMode="External"/><Relationship Id="rId78" Type="http://schemas.openxmlformats.org/officeDocument/2006/relationships/hyperlink" Target="https://octopart.com/click/track?c=1&amp;ai=8078&amp;sig=02957f8&amp;sid=819&amp;ppid=55419770&amp;vpid=139309800&amp;ct=offers" TargetMode="External"/><Relationship Id="rId79" Type="http://schemas.openxmlformats.org/officeDocument/2006/relationships/hyperlink" Target="https://octopart.com/click/track?ai=8078&amp;sig=035d3a2&amp;sid=27971&amp;ppid=55419770&amp;vpid=669037562&amp;ct=offers" TargetMode="External"/><Relationship Id="rId80" Type="http://schemas.openxmlformats.org/officeDocument/2006/relationships/hyperlink" Target="https://octopart.com/click/track?ai=8078&amp;sig=05e6940&amp;sid=2401&amp;ppid=55419770&amp;vpid=193534025&amp;ct=offers" TargetMode="External"/><Relationship Id="rId81" Type="http://schemas.openxmlformats.org/officeDocument/2006/relationships/hyperlink" Target="https://octopart.com/click/track?c=1&amp;ai=8078&amp;sig=04e76a3&amp;sid=2402&amp;ppid=55419770&amp;vpid=708013514&amp;ct=offers" TargetMode="External"/><Relationship Id="rId82" Type="http://schemas.openxmlformats.org/officeDocument/2006/relationships/hyperlink" Target="https://industrial.panasonic.com/ww/products/pt/general-purpose-chip-resistors/models/ERJ1GNF1002C" TargetMode="External"/><Relationship Id="rId83" Type="http://schemas.openxmlformats.org/officeDocument/2006/relationships/hyperlink" Target="https://octopart.com/click/track?ai=8078&amp;sig=09e29da&amp;sid=1106&amp;ppid=55419697&amp;vpid=480866856&amp;ct=offers" TargetMode="External"/><Relationship Id="rId84" Type="http://schemas.openxmlformats.org/officeDocument/2006/relationships/hyperlink" Target="https://octopart.com/click/track?c=1&amp;ai=8078&amp;sig=0d11641&amp;sid=459&amp;ppid=55419697&amp;vpid=436711940&amp;ct=offers" TargetMode="External"/><Relationship Id="rId85" Type="http://schemas.openxmlformats.org/officeDocument/2006/relationships/hyperlink" Target="https://octopart.com/click/track?ai=8078&amp;sig=0d3e070&amp;sid=819&amp;ppid=55419697&amp;vpid=139309636&amp;ct=offers" TargetMode="External"/><Relationship Id="rId86" Type="http://schemas.openxmlformats.org/officeDocument/2006/relationships/hyperlink" Target="https://octopart.com/click/track?ai=8078&amp;sig=02e7488&amp;sid=27971&amp;ppid=55419697&amp;vpid=669037554&amp;ct=offers" TargetMode="External"/><Relationship Id="rId87" Type="http://schemas.openxmlformats.org/officeDocument/2006/relationships/hyperlink" Target="https://octopart.com/click/track?ai=8078&amp;sig=08e4731&amp;sid=2401&amp;ppid=55419697&amp;vpid=189037115&amp;ct=offers" TargetMode="External"/><Relationship Id="rId88" Type="http://schemas.openxmlformats.org/officeDocument/2006/relationships/hyperlink" Target="https://octopart.com/click/track?c=1&amp;ai=8078&amp;sig=074f86a&amp;sid=2402&amp;ppid=55419697&amp;vpid=432963067&amp;ct=offers" TargetMode="External"/><Relationship Id="rId89" Type="http://schemas.openxmlformats.org/officeDocument/2006/relationships/hyperlink" Target="https://octopart.com/click/track?ai=8078&amp;sig=0924ec2&amp;sid=10022&amp;ppid=55419697&amp;vpid=501237973&amp;ct=offers" TargetMode="External"/><Relationship Id="rId90" Type="http://schemas.openxmlformats.org/officeDocument/2006/relationships/hyperlink" Target="https://industrial.panasonic.com/ww/products/pt/general-purpose-chip-resistors/models/ERJ1GNJ512C" TargetMode="External"/><Relationship Id="rId91" Type="http://schemas.openxmlformats.org/officeDocument/2006/relationships/hyperlink" Target="https://octopart.com/click/track?ai=8078&amp;sig=0dd36dc&amp;sid=459&amp;ppid=66942597&amp;vpid=465235418&amp;ct=offers" TargetMode="External"/><Relationship Id="rId92" Type="http://schemas.openxmlformats.org/officeDocument/2006/relationships/hyperlink" Target="https://octopart.com/click/track?c=1&amp;ai=8078&amp;sig=01b939b&amp;sid=819&amp;ppid=66942597&amp;vpid=603690950&amp;ct=offers" TargetMode="External"/><Relationship Id="rId93" Type="http://schemas.openxmlformats.org/officeDocument/2006/relationships/hyperlink" Target="https://octopart.com/click/track?ai=8078&amp;sig=07a33f5&amp;sid=2401&amp;ppid=66942597&amp;vpid=265943161&amp;ct=offers" TargetMode="External"/><Relationship Id="rId94" Type="http://schemas.openxmlformats.org/officeDocument/2006/relationships/hyperlink" Target="https://octopart.com/click/track?c=1&amp;ai=8078&amp;sig=0cb0675&amp;sid=2402&amp;ppid=66942597&amp;vpid=669843420&amp;ct=offers" TargetMode="External"/><Relationship Id="rId95" Type="http://schemas.openxmlformats.org/officeDocument/2006/relationships/hyperlink" Target="https://industrial.panasonic.com/ww/products/pt/general-purpose-chip-resistors/models/ERJ1GNJ101C" TargetMode="External"/><Relationship Id="rId96" Type="http://schemas.openxmlformats.org/officeDocument/2006/relationships/hyperlink" Target="https://octopart.com/click/track?ai=8078&amp;sig=0a88044&amp;sid=1106&amp;ppid=44403300&amp;vpid=473398341&amp;ct=offers" TargetMode="External"/><Relationship Id="rId97" Type="http://schemas.openxmlformats.org/officeDocument/2006/relationships/hyperlink" Target="https://octopart.com/click/track?ai=8078&amp;sig=080fecf&amp;sid=459&amp;ppid=44403300&amp;vpid=465235178&amp;ct=offers" TargetMode="External"/><Relationship Id="rId98" Type="http://schemas.openxmlformats.org/officeDocument/2006/relationships/hyperlink" Target="https://octopart.com/click/track?c=1&amp;ai=8078&amp;sig=0b30f5a&amp;sid=819&amp;ppid=44403300&amp;vpid=603690830&amp;ct=offers" TargetMode="External"/><Relationship Id="rId99" Type="http://schemas.openxmlformats.org/officeDocument/2006/relationships/hyperlink" Target="https://octopart.com/click/track?ai=8078&amp;sig=08d00b1&amp;sid=27971&amp;ppid=44403300&amp;vpid=669037577&amp;ct=offers" TargetMode="External"/><Relationship Id="rId100" Type="http://schemas.openxmlformats.org/officeDocument/2006/relationships/hyperlink" Target="https://octopart.com/click/track?ai=8078&amp;sig=0e9f721&amp;sid=2401&amp;ppid=44403300&amp;vpid=165486549&amp;ct=offers" TargetMode="External"/><Relationship Id="rId101" Type="http://schemas.openxmlformats.org/officeDocument/2006/relationships/hyperlink" Target="https://octopart.com/click/track?c=1&amp;ai=8078&amp;sig=0f3777c&amp;sid=2402&amp;ppid=44403300&amp;vpid=166626673&amp;ct=offers" TargetMode="External"/><Relationship Id="rId102" Type="http://schemas.openxmlformats.org/officeDocument/2006/relationships/hyperlink" Target="https://octopart.com/click/track?ai=8078&amp;sig=0e76548&amp;sid=10022&amp;ppid=44403300&amp;vpid=577025029&amp;ct=offers" TargetMode="External"/><Relationship Id="rId103" Type="http://schemas.openxmlformats.org/officeDocument/2006/relationships/hyperlink" Target="https://industrial.panasonic.com/ww/products/pt/general-purpose-chip-resistors/models/ERJ1GN0R00C" TargetMode="External"/><Relationship Id="rId104" Type="http://schemas.openxmlformats.org/officeDocument/2006/relationships/hyperlink" Target="https://octopart.com/click/track?ai=8078&amp;sig=0c1b735&amp;sid=1106&amp;ppid=16432844&amp;vpid=473398240&amp;ct=offers" TargetMode="External"/><Relationship Id="rId105" Type="http://schemas.openxmlformats.org/officeDocument/2006/relationships/hyperlink" Target="https://octopart.com/click/track?ai=8078&amp;sig=06e3983&amp;sid=459&amp;ppid=16432844&amp;vpid=73994004&amp;ct=offers" TargetMode="External"/><Relationship Id="rId106" Type="http://schemas.openxmlformats.org/officeDocument/2006/relationships/hyperlink" Target="https://octopart.com/click/track?c=1&amp;ai=8078&amp;sig=0993eba&amp;sid=11744&amp;ppid=16432844&amp;vpid=709673718&amp;ct=offers" TargetMode="External"/><Relationship Id="rId107" Type="http://schemas.openxmlformats.org/officeDocument/2006/relationships/hyperlink" Target="https://octopart.com/click/track?ai=8078&amp;sig=06ab724&amp;sid=2401&amp;ppid=16432844&amp;vpid=41840075&amp;ct=offers" TargetMode="External"/><Relationship Id="rId108" Type="http://schemas.openxmlformats.org/officeDocument/2006/relationships/hyperlink" Target="https://octopart.com/click/track?ai=8078&amp;sig=03714c0&amp;sid=2402&amp;ppid=16432844&amp;vpid=87993748&amp;ct=offers" TargetMode="External"/><Relationship Id="rId109" Type="http://schemas.openxmlformats.org/officeDocument/2006/relationships/hyperlink" Target="https://octopart.com/click/track?ai=8078&amp;sig=0514af3&amp;sid=10022&amp;ppid=16432844&amp;vpid=501237969&amp;ct=offers" TargetMode="External"/><Relationship Id="rId110" Type="http://schemas.openxmlformats.org/officeDocument/2006/relationships/hyperlink" Target="https://industrial.panasonic.com/ww/products/pt/general-purpose-chip-resistors/models/ERJ1GNF22R0C" TargetMode="External"/><Relationship Id="rId111" Type="http://schemas.openxmlformats.org/officeDocument/2006/relationships/hyperlink" Target="https://octopart.com/click/track?ai=8078&amp;sig=0d27ed7&amp;sid=1106&amp;ppid=55559998&amp;vpid=485940781&amp;ct=offers" TargetMode="External"/><Relationship Id="rId112" Type="http://schemas.openxmlformats.org/officeDocument/2006/relationships/hyperlink" Target="https://octopart.com/click/track?ai=8078&amp;sig=08ee572&amp;sid=459&amp;ppid=55559998&amp;vpid=465234424&amp;ct=offers" TargetMode="External"/><Relationship Id="rId113" Type="http://schemas.openxmlformats.org/officeDocument/2006/relationships/hyperlink" Target="https://octopart.com/click/track?ai=8078&amp;sig=0f5afc1&amp;sid=819&amp;ppid=55559998&amp;vpid=139309833&amp;ct=offers" TargetMode="External"/><Relationship Id="rId114" Type="http://schemas.openxmlformats.org/officeDocument/2006/relationships/hyperlink" Target="https://octopart.com/click/track?ai=8078&amp;sig=07c5712&amp;sid=27971&amp;ppid=55559998&amp;vpid=669037565&amp;ct=offers" TargetMode="External"/><Relationship Id="rId115" Type="http://schemas.openxmlformats.org/officeDocument/2006/relationships/hyperlink" Target="https://octopart.com/click/track?ai=8078&amp;sig=0dd1891&amp;sid=2401&amp;ppid=55559998&amp;vpid=187838618&amp;ct=offers" TargetMode="External"/><Relationship Id="rId116" Type="http://schemas.openxmlformats.org/officeDocument/2006/relationships/hyperlink" Target="https://octopart.com/click/track?ai=8078&amp;sig=0c29c4a&amp;sid=2402&amp;ppid=55559998&amp;vpid=191369222&amp;ct=offers" TargetMode="External"/><Relationship Id="rId117" Type="http://schemas.openxmlformats.org/officeDocument/2006/relationships/hyperlink" Target="https://octopart.com/click/track?ai=8078&amp;sig=06d7890&amp;sid=10022&amp;ppid=55559998&amp;vpid=577025017&amp;ct=offers" TargetMode="External"/><Relationship Id="rId118" Type="http://schemas.openxmlformats.org/officeDocument/2006/relationships/hyperlink" Target="https://www.ckswitches.com/media/1465/kxt3.pdf" TargetMode="External"/><Relationship Id="rId119" Type="http://schemas.openxmlformats.org/officeDocument/2006/relationships/hyperlink" Target="https://octopart.com/click/track?ai=8078&amp;sig=0223530&amp;sid=459&amp;ppid=81056064&amp;vpid=409558688&amp;ct=offers" TargetMode="External"/><Relationship Id="rId120" Type="http://schemas.openxmlformats.org/officeDocument/2006/relationships/hyperlink" Target="https://octopart.com/click/track?ai=8078&amp;sig=09adc26&amp;sid=819&amp;ppid=81056064&amp;vpid=573821253&amp;ct=offers" TargetMode="External"/><Relationship Id="rId121" Type="http://schemas.openxmlformats.org/officeDocument/2006/relationships/hyperlink" Target="https://octopart.com/click/track?ai=8078&amp;sig=0c0d3ac&amp;sid=27971&amp;ppid=81056064&amp;vpid=499988073&amp;ct=offers" TargetMode="External"/><Relationship Id="rId122" Type="http://schemas.openxmlformats.org/officeDocument/2006/relationships/hyperlink" Target="https://octopart.com/click/track?ai=8078&amp;sig=02cc0b6&amp;sid=2401&amp;ppid=81056064&amp;vpid=418675924&amp;ct=offers" TargetMode="External"/><Relationship Id="rId123" Type="http://schemas.openxmlformats.org/officeDocument/2006/relationships/hyperlink" Target="https://octopart.com/click/track?c=1&amp;ai=8078&amp;sig=0bcd80a&amp;sid=2402&amp;ppid=81056064&amp;vpid=591711208&amp;ct=offers" TargetMode="External"/><Relationship Id="rId124" Type="http://schemas.openxmlformats.org/officeDocument/2006/relationships/hyperlink" Target="https://www.onsemi.com/pdf/datasheet/ncp115-d.pdf" TargetMode="External"/><Relationship Id="rId125" Type="http://schemas.openxmlformats.org/officeDocument/2006/relationships/hyperlink" Target="https://octopart.com/click/track?ai=8078&amp;sig=0a3f4b6&amp;sid=459&amp;ppid=92380524&amp;vpid=530205177&amp;ct=offers" TargetMode="External"/><Relationship Id="rId126" Type="http://schemas.openxmlformats.org/officeDocument/2006/relationships/hyperlink" Target="https://octopart.com/click/track?ai=8078&amp;sig=05836ef&amp;sid=819&amp;ppid=92380524&amp;vpid=530799043&amp;ct=offers" TargetMode="External"/><Relationship Id="rId127" Type="http://schemas.openxmlformats.org/officeDocument/2006/relationships/hyperlink" Target="https://octopart.com/click/track?ai=8078&amp;sig=036a8af&amp;sid=2401&amp;ppid=92380524&amp;vpid=523401631&amp;ct=offers" TargetMode="External"/><Relationship Id="rId128" Type="http://schemas.openxmlformats.org/officeDocument/2006/relationships/hyperlink" Target="https://octopart.com/click/track?ai=8078&amp;sig=09fcc50&amp;sid=2402&amp;ppid=92380524&amp;vpid=531928826&amp;ct=offers" TargetMode="External"/><Relationship Id="rId129" Type="http://schemas.openxmlformats.org/officeDocument/2006/relationships/hyperlink" Target="https://octopart.com/click/track?ai=8078&amp;sig=074da9d&amp;sid=10022&amp;ppid=92380524&amp;vpid=562641107&amp;ct=offers" TargetMode="External"/><Relationship Id="rId130" Type="http://schemas.openxmlformats.org/officeDocument/2006/relationships/hyperlink" Target="https://octopart.com/click/track?ai=8078&amp;sig=0266325&amp;sid=1532&amp;ppid=92380524&amp;vpid=780042463&amp;ct=offers" TargetMode="External"/><Relationship Id="rId131" Type="http://schemas.openxmlformats.org/officeDocument/2006/relationships/hyperlink" Target="https://www.onsemi.com/pdf/datasheet/ncp167-d.pdf" TargetMode="External"/><Relationship Id="rId132" Type="http://schemas.openxmlformats.org/officeDocument/2006/relationships/hyperlink" Target="https://octopart.com/click/track?ai=8078&amp;sig=08df17c&amp;sid=459&amp;ppid=85869721&amp;vpid=510801591&amp;ct=offers" TargetMode="External"/><Relationship Id="rId133" Type="http://schemas.openxmlformats.org/officeDocument/2006/relationships/hyperlink" Target="https://octopart.com/click/track?ai=8078&amp;sig=03da2a6&amp;sid=11744&amp;ppid=85869721&amp;vpid=511860082&amp;ct=offers" TargetMode="External"/><Relationship Id="rId134" Type="http://schemas.openxmlformats.org/officeDocument/2006/relationships/hyperlink" Target="https://octopart.com/click/track?ai=8078&amp;sig=093fed6&amp;sid=2401&amp;ppid=85869721&amp;vpid=480971673&amp;ct=offers" TargetMode="External"/><Relationship Id="rId135" Type="http://schemas.openxmlformats.org/officeDocument/2006/relationships/hyperlink" Target="https://octopart.com/click/track?ai=8078&amp;sig=061a238&amp;sid=2402&amp;ppid=85869721&amp;vpid=530859240&amp;ct=offers" TargetMode="External"/><Relationship Id="rId136" Type="http://schemas.openxmlformats.org/officeDocument/2006/relationships/hyperlink" Target="https://octopart.com/click/track?ai=8078&amp;sig=0d86e14&amp;sid=10022&amp;ppid=85869721&amp;vpid=562641330&amp;ct=offers" TargetMode="External"/><Relationship Id="rId137" Type="http://schemas.openxmlformats.org/officeDocument/2006/relationships/hyperlink" Target="https://www.ti.com/lit/gpn/lm66200" TargetMode="External"/><Relationship Id="rId138" Type="http://schemas.openxmlformats.org/officeDocument/2006/relationships/hyperlink" Target="https://octopart.com/click/track?c=1&amp;ai=8078&amp;sig=0c2676f&amp;sid=459&amp;ppid=122983326&amp;vpid=783761531&amp;ct=offers" TargetMode="External"/><Relationship Id="rId139" Type="http://schemas.openxmlformats.org/officeDocument/2006/relationships/hyperlink" Target="https://octopart.com/click/track?c=1&amp;ai=8078&amp;sig=05c5f86&amp;sid=2401&amp;ppid=122983326&amp;vpid=784483631&amp;ct=offers" TargetMode="External"/><Relationship Id="rId140" Type="http://schemas.openxmlformats.org/officeDocument/2006/relationships/hyperlink" Target="https://www.ti.com/lit/ds/symlink/sn74cbtd16211.pdf" TargetMode="External"/><Relationship Id="rId141" Type="http://schemas.openxmlformats.org/officeDocument/2006/relationships/hyperlink" Target="https://octopart.com/click/track?c=1&amp;ai=8078&amp;sig=0aac5c3&amp;sid=459&amp;ppid=472676&amp;vpid=1588405&amp;ct=offers" TargetMode="External"/><Relationship Id="rId142" Type="http://schemas.openxmlformats.org/officeDocument/2006/relationships/hyperlink" Target="https://octopart.com/click/track?ai=8078&amp;sig=0681b00&amp;sid=2401&amp;ppid=472676&amp;vpid=46887142&amp;ct=offers" TargetMode="External"/><Relationship Id="rId143" Type="http://schemas.openxmlformats.org/officeDocument/2006/relationships/hyperlink" Target="https://www.nxp.com/docs/en/data-sheet/SGTL5000.pdf" TargetMode="External"/><Relationship Id="rId144" Type="http://schemas.openxmlformats.org/officeDocument/2006/relationships/hyperlink" Target="https://octopart.com/click/track?c=1&amp;ai=8078&amp;sig=0e67bb5&amp;sid=459&amp;ppid=70302733&amp;vpid=248305906&amp;ct=offers" TargetMode="External"/><Relationship Id="rId145" Type="http://schemas.openxmlformats.org/officeDocument/2006/relationships/hyperlink" Target="https://octopart.com/click/track?c=1&amp;ai=8078&amp;sig=090de4c&amp;sid=819&amp;ppid=70302733&amp;vpid=247821581&amp;ct=offers" TargetMode="External"/><Relationship Id="rId146" Type="http://schemas.openxmlformats.org/officeDocument/2006/relationships/hyperlink" Target="https://octopart.com/click/track?c=1&amp;ai=8078&amp;sig=047f522&amp;sid=2401&amp;ppid=70302733&amp;vpid=251555959&amp;ct=offers" TargetMode="External"/><Relationship Id="rId147" Type="http://schemas.openxmlformats.org/officeDocument/2006/relationships/hyperlink" Target="https://octopart.com/click/track?c=1&amp;ai=8078&amp;sig=00417c4&amp;sid=2402&amp;ppid=70302733&amp;vpid=270421497&amp;ct=offers" TargetMode="External"/><Relationship Id="rId148" Type="http://schemas.openxmlformats.org/officeDocument/2006/relationships/hyperlink" Target="https://www.onsemi.com/pdf/datasheet/nuf2030xv6-d.pdf" TargetMode="External"/><Relationship Id="rId149" Type="http://schemas.openxmlformats.org/officeDocument/2006/relationships/hyperlink" Target="https://octopart.com/click/track?c=1&amp;ai=8078&amp;sig=08ab043&amp;sid=459&amp;ppid=1432420&amp;vpid=34063078&amp;ct=offers" TargetMode="External"/><Relationship Id="rId150" Type="http://schemas.openxmlformats.org/officeDocument/2006/relationships/hyperlink" Target="https://octopart.com/click/track?c=1&amp;ai=8078&amp;sig=06011dc&amp;sid=819&amp;ppid=1432420&amp;vpid=464895797&amp;ct=offers" TargetMode="External"/><Relationship Id="rId151" Type="http://schemas.openxmlformats.org/officeDocument/2006/relationships/hyperlink" Target="https://octopart.com/click/track?c=1&amp;ai=8078&amp;sig=0a62f1b&amp;sid=2401&amp;ppid=1432420&amp;vpid=37670933&amp;ct=offers" TargetMode="External"/><Relationship Id="rId152" Type="http://schemas.openxmlformats.org/officeDocument/2006/relationships/hyperlink" Target="https://octopart.com/click/track?c=1&amp;ai=8078&amp;sig=007b1fd&amp;sid=2402&amp;ppid=1432420&amp;vpid=462366243&amp;ct=offers" TargetMode="External"/><Relationship Id="rId153" Type="http://schemas.openxmlformats.org/officeDocument/2006/relationships/hyperlink" Target="https://octopart.com/click/track?ai=8078&amp;sig=0d0b068&amp;sid=10022&amp;ppid=1432420&amp;vpid=199088821&amp;ct=offers" TargetMode="External"/><Relationship Id="rId154" Type="http://schemas.openxmlformats.org/officeDocument/2006/relationships/hyperlink" Target="https://octopart.com/click/track?ai=8078&amp;sig=0871723&amp;sid=1532&amp;ppid=1432420&amp;vpid=709123001&amp;ct=offers" TargetMode="External"/><Relationship Id="rId155" Type="http://schemas.openxmlformats.org/officeDocument/2006/relationships/hyperlink" Target="https://www.microchip.com/en-us/product/MCP6H01" TargetMode="External"/><Relationship Id="rId156" Type="http://schemas.openxmlformats.org/officeDocument/2006/relationships/hyperlink" Target="https://octopart.com/click/track?ai=8078&amp;sig=0f80c4c&amp;sid=1106&amp;ppid=21389927&amp;vpid=473299057&amp;ct=offers" TargetMode="External"/><Relationship Id="rId157" Type="http://schemas.openxmlformats.org/officeDocument/2006/relationships/hyperlink" Target="https://octopart.com/click/track?c=1&amp;ai=8078&amp;sig=00f6610&amp;sid=459&amp;ppid=21389927&amp;vpid=46837432&amp;ct=offers" TargetMode="External"/><Relationship Id="rId158" Type="http://schemas.openxmlformats.org/officeDocument/2006/relationships/hyperlink" Target="https://octopart.com/click/track?ai=8078&amp;sig=0deab42&amp;sid=11744&amp;ppid=21389927&amp;vpid=478776036&amp;ct=offers" TargetMode="External"/><Relationship Id="rId159" Type="http://schemas.openxmlformats.org/officeDocument/2006/relationships/hyperlink" Target="https://octopart.com/click/track?ai=8078&amp;sig=0e088c4&amp;sid=2401&amp;ppid=21389927&amp;vpid=96737316&amp;ct=offers" TargetMode="External"/><Relationship Id="rId160" Type="http://schemas.openxmlformats.org/officeDocument/2006/relationships/hyperlink" Target="https://octopart.com/click/track?c=1&amp;ai=8078&amp;sig=06c4409&amp;sid=2402&amp;ppid=21389927&amp;vpid=477464962&amp;ct=offers" TargetMode="External"/><Relationship Id="rId161" Type="http://schemas.openxmlformats.org/officeDocument/2006/relationships/hyperlink" Target="https://octopart.com/click/track?ai=8078&amp;sig=03abf9d&amp;sid=10022&amp;ppid=21389927&amp;vpid=501149510&amp;ct=offers" TargetMode="External"/><Relationship Id="rId162" Type="http://schemas.openxmlformats.org/officeDocument/2006/relationships/hyperlink" Target="https://octopart.com/click/track?ai=8078&amp;sig=0683b33&amp;sid=1532&amp;ppid=21389927&amp;vpid=709082526&amp;ct=offers" TargetMode="External"/><Relationship Id="rId163" Type="http://schemas.openxmlformats.org/officeDocument/2006/relationships/hyperlink" Target="https://www.apmemory.com/wp-content/uploads/APM_PSRAM_QSPI-APS6404L-3SQR-v2.3-PKG.pdf" TargetMode="External"/><Relationship Id="rId164" Type="http://schemas.openxmlformats.org/officeDocument/2006/relationships/hyperlink" Target="https://www.winbond.com/resource-files/W25Q128JV%20RevH%2003102021%20Plus.pdf" TargetMode="External"/><Relationship Id="rId165" Type="http://schemas.openxmlformats.org/officeDocument/2006/relationships/hyperlink" Target="https://octopart.com/click/track?ai=8078&amp;sig=074beb7&amp;sid=1106&amp;ppid=81762594&amp;vpid=486419345&amp;ct=offers" TargetMode="External"/><Relationship Id="rId166" Type="http://schemas.openxmlformats.org/officeDocument/2006/relationships/hyperlink" Target="https://octopart.com/click/track?ai=8078&amp;sig=0c22e88&amp;sid=459&amp;ppid=81762594&amp;vpid=420816932&amp;ct=offers" TargetMode="External"/><Relationship Id="rId167" Type="http://schemas.openxmlformats.org/officeDocument/2006/relationships/hyperlink" Target="http://www.latticesemi.com/Products/FPGAandCPLD/iCE40UltraPlus" TargetMode="External"/><Relationship Id="rId168" Type="http://schemas.openxmlformats.org/officeDocument/2006/relationships/hyperlink" Target="https://octopart.com/click/track?c=1&amp;ai=8078&amp;sig=08e94d1&amp;sid=459&amp;ppid=87369311&amp;vpid=495120370&amp;ct=offers" TargetMode="External"/><Relationship Id="rId169" Type="http://schemas.openxmlformats.org/officeDocument/2006/relationships/hyperlink" Target="https://octopart.com/click/track?c=1&amp;ai=8078&amp;sig=046bf45&amp;sid=819&amp;ppid=87369311&amp;vpid=718456045&amp;ct=offers" TargetMode="External"/><Relationship Id="rId170" Type="http://schemas.openxmlformats.org/officeDocument/2006/relationships/hyperlink" Target="https://octopart.com/click/track?c=1&amp;ai=8078&amp;sig=0cde656&amp;sid=2401&amp;ppid=87369311&amp;vpid=477152809&amp;ct=offers" TargetMode="External"/><Relationship Id="rId171" Type="http://schemas.openxmlformats.org/officeDocument/2006/relationships/hyperlink" Target="https://octopart.com/click/track?c=1&amp;ai=8078&amp;sig=0c32068&amp;sid=2402&amp;ppid=87369311&amp;vpid=719396471&amp;ct=offers" TargetMode="External"/><Relationship Id="rId172" Type="http://schemas.openxmlformats.org/officeDocument/2006/relationships/hyperlink" Target="https://abracon.com/Oscillators/ASCO.pdf" TargetMode="External"/><Relationship Id="rId173" Type="http://schemas.openxmlformats.org/officeDocument/2006/relationships/hyperlink" Target="https://octopart.com/click/track?c=1&amp;ai=8078&amp;sig=0ffd471&amp;sid=459&amp;ppid=29304148&amp;vpid=77656383&amp;ct=offers" TargetMode="External"/><Relationship Id="rId174" Type="http://schemas.openxmlformats.org/officeDocument/2006/relationships/hyperlink" Target="https://octopart.com/click/track?ai=8078&amp;sig=09923b3&amp;sid=11744&amp;ppid=29304148&amp;vpid=663680083&amp;ct=offers" TargetMode="External"/><Relationship Id="rId175" Type="http://schemas.openxmlformats.org/officeDocument/2006/relationships/hyperlink" Target="https://octopart.com/click/track?ai=8078&amp;sig=0787bed&amp;sid=2401&amp;ppid=29304148&amp;vpid=182948634&amp;ct=offers" TargetMode="External"/><Relationship Id="rId176" Type="http://schemas.openxmlformats.org/officeDocument/2006/relationships/hyperlink" Target="https://octopart.com/click/track?ai=8078&amp;sig=0785f27&amp;sid=2402&amp;ppid=29304148&amp;vpid=664848724&amp;ct=offers" TargetMode="External"/><Relationship Id="rId177" Type="http://schemas.openxmlformats.org/officeDocument/2006/relationships/hyperlink" Target="https://www.arrow.com/en/bom-tool/" TargetMode="External"/><Relationship Id="rId178" Type="http://schemas.openxmlformats.org/officeDocument/2006/relationships/hyperlink" Target="https://www.digikey.com/ordering/shoppingcart" TargetMode="External"/><Relationship Id="rId179" Type="http://schemas.openxmlformats.org/officeDocument/2006/relationships/hyperlink" Target="https://fr.farnell.com/en-FR/quick-order?isQuickPaste=true" TargetMode="External"/><Relationship Id="rId180" Type="http://schemas.openxmlformats.org/officeDocument/2006/relationships/hyperlink" Target="https://lcsc.com/bom.html" TargetMode="External"/><Relationship Id="rId181" Type="http://schemas.openxmlformats.org/officeDocument/2006/relationships/hyperlink" Target="https://mouser.com/bom/" TargetMode="External"/><Relationship Id="rId182" Type="http://schemas.openxmlformats.org/officeDocument/2006/relationships/hyperlink" Target="https://www.newark.com/quick-order?isQuickPaste=true" TargetMode="External"/><Relationship Id="rId183" Type="http://schemas.openxmlformats.org/officeDocument/2006/relationships/hyperlink" Target="https://uk.rs-online.com/web/mylists/manualQuotes.html?method=showEnquiryCreationPage&amp;mode=new" TargetMode="External"/><Relationship Id="rId184" Type="http://schemas.openxmlformats.org/officeDocument/2006/relationships/hyperlink" Target="https://www.tme.eu/en/Profile/QuickBuy/load.html" TargetMode="External"/><Relationship Id="rId185" Type="http://schemas.openxmlformats.org/officeDocument/2006/relationships/vmlDrawing" Target="../drawings/vmlDrawing1.vml"/><Relationship Id="rId18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15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23.7109375" customWidth="1"/>
    <col min="2" max="2" width="21.7109375" customWidth="1"/>
    <col min="3" max="3" width="33.7109375" customWidth="1" outlineLevel="2"/>
    <col min="4" max="4" width="33.7109375" customWidth="1"/>
    <col min="5" max="5" width="33.7109375" customWidth="1" outlineLevel="2"/>
    <col min="6" max="6" width="10.7109375" customWidth="1" outlineLevel="1"/>
    <col min="7" max="7" width="21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1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3.7109375" customWidth="1" outlineLevel="2"/>
    <col min="23" max="23" width="9.7109375" customWidth="1" outlineLevel="1"/>
    <col min="24" max="24" width="9.140625" outlineLevel="2"/>
    <col min="25" max="25" width="10.7109375" customWidth="1" outlineLevel="2"/>
    <col min="26" max="26" width="0" hidden="1" customWidth="1" outlineLevel="3" collapsed="1"/>
    <col min="27" max="27" width="16.7109375" customWidth="1"/>
    <col min="28" max="28" width="16.7109375" customWidth="1" outlineLevel="2"/>
    <col min="29" max="29" width="9.7109375" customWidth="1" outlineLevel="1"/>
    <col min="30" max="30" width="9.140625" outlineLevel="2"/>
    <col min="31" max="31" width="10.7109375" customWidth="1" outlineLevel="2"/>
    <col min="32" max="32" width="0" hidden="1" customWidth="1" outlineLevel="3" collapsed="1"/>
    <col min="33" max="33" width="16.7109375" customWidth="1"/>
    <col min="34" max="34" width="16.7109375" customWidth="1" outlineLevel="2"/>
    <col min="35" max="35" width="9.7109375" customWidth="1" outlineLevel="1"/>
    <col min="36" max="36" width="9.140625" outlineLevel="2"/>
    <col min="37" max="37" width="10.7109375" customWidth="1" outlineLevel="2"/>
    <col min="38" max="38" width="0" hidden="1" customWidth="1" outlineLevel="3" collapsed="1"/>
    <col min="39" max="39" width="16.7109375" customWidth="1"/>
    <col min="40" max="40" width="20.7109375" customWidth="1" outlineLevel="2"/>
    <col min="41" max="41" width="9.7109375" customWidth="1" outlineLevel="1"/>
    <col min="42" max="42" width="9.140625" outlineLevel="2"/>
    <col min="43" max="43" width="10.7109375" customWidth="1" outlineLevel="2"/>
    <col min="44" max="44" width="0" hidden="1" customWidth="1" outlineLevel="3" collapsed="1"/>
    <col min="45" max="45" width="16.7109375" customWidth="1"/>
    <col min="46" max="46" width="16.7109375" customWidth="1" outlineLevel="2"/>
    <col min="47" max="47" width="9.7109375" customWidth="1" outlineLevel="1"/>
    <col min="48" max="48" width="9.140625" outlineLevel="2"/>
    <col min="49" max="49" width="10.7109375" customWidth="1" outlineLevel="2"/>
    <col min="50" max="50" width="0" hidden="1" customWidth="1" outlineLevel="3" collapsed="1"/>
    <col min="51" max="51" width="16.7109375" customWidth="1"/>
    <col min="52" max="52" width="16.7109375" customWidth="1" outlineLevel="2"/>
    <col min="53" max="53" width="9.7109375" customWidth="1" outlineLevel="1"/>
    <col min="54" max="54" width="9.140625" outlineLevel="2"/>
    <col min="55" max="55" width="10.7109375" customWidth="1" outlineLevel="2"/>
    <col min="56" max="56" width="0" hidden="1" customWidth="1" outlineLevel="3" collapsed="1"/>
    <col min="57" max="57" width="16.7109375" customWidth="1"/>
    <col min="58" max="58" width="16.7109375" customWidth="1" outlineLevel="2"/>
  </cols>
  <sheetData>
    <row r="1" spans="1:58">
      <c r="A1" s="1" t="s">
        <v>335</v>
      </c>
      <c r="B1" s="2" t="s">
        <v>336</v>
      </c>
      <c r="I1" s="3" t="s">
        <v>341</v>
      </c>
      <c r="J1" s="3">
        <v>100</v>
      </c>
    </row>
    <row r="2" spans="1:58">
      <c r="A2" s="1" t="s">
        <v>337</v>
      </c>
      <c r="B2" s="2" t="s">
        <v>338</v>
      </c>
      <c r="I2" s="1" t="s">
        <v>343</v>
      </c>
      <c r="J2" s="4">
        <f>TotalCost/BoardQty</f>
        <v>16.3157</v>
      </c>
    </row>
    <row r="3" spans="1:58">
      <c r="A3" s="1" t="s">
        <v>339</v>
      </c>
      <c r="B3" s="2" t="s">
        <v>340</v>
      </c>
      <c r="I3" s="1" t="s">
        <v>342</v>
      </c>
      <c r="J3" s="5">
        <f>SUM(J7:J41)</f>
        <v>1631.5698</v>
      </c>
      <c r="O3" s="5">
        <f>SUM(O7:O41)</f>
        <v>354.53</v>
      </c>
      <c r="P3" s="6" t="str">
        <f>(COUNTA(O7:O41)&amp;" of "&amp;ROWS(O7:O41)&amp;" parts found")</f>
        <v>14 of 35 parts found</v>
      </c>
      <c r="U3" s="5">
        <f>SUM(U7:U41)</f>
        <v>1650.804</v>
      </c>
      <c r="V3" s="6" t="str">
        <f>(COUNTA(U7:U41)&amp;" of "&amp;ROWS(U7:U41)&amp;" parts found")</f>
        <v>28 of 35 parts found</v>
      </c>
      <c r="AA3" s="5">
        <f>SUM(AA7:AA41)</f>
        <v>1765.0945</v>
      </c>
      <c r="AB3" s="6" t="str">
        <f>(COUNTA(AA7:AA41)&amp;" of "&amp;ROWS(AA7:AA41)&amp;" parts found")</f>
        <v>25 of 35 parts found</v>
      </c>
      <c r="AG3" s="5">
        <f>SUM(AG7:AG41)</f>
        <v>93.23</v>
      </c>
      <c r="AH3" s="6" t="str">
        <f>(COUNTA(AG7:AG41)&amp;" of "&amp;ROWS(AG7:AG41)&amp;" parts found")</f>
        <v>12 of 35 parts found</v>
      </c>
      <c r="AM3" s="5">
        <f>SUM(AM7:AM41)</f>
        <v>1659.5</v>
      </c>
      <c r="AN3" s="6" t="str">
        <f>(COUNTA(AM7:AM41)&amp;" of "&amp;ROWS(AM7:AM41)&amp;" parts found")</f>
        <v>27 of 35 parts found</v>
      </c>
      <c r="AS3" s="5">
        <f>SUM(AS7:AS41)</f>
        <v>1658.9</v>
      </c>
      <c r="AT3" s="6" t="str">
        <f>(COUNTA(AS7:AS41)&amp;" of "&amp;ROWS(AS7:AS41)&amp;" parts found")</f>
        <v>25 of 35 parts found</v>
      </c>
      <c r="AY3" s="5">
        <f>SUM(AY7:AY41)</f>
        <v>186.299</v>
      </c>
      <c r="AZ3" s="6" t="str">
        <f>(COUNTA(AY7:AY41)&amp;" of "&amp;ROWS(AY7:AY41)&amp;" parts found")</f>
        <v>13 of 35 parts found</v>
      </c>
      <c r="BE3" s="5">
        <f>SUM(BE7:BE41)</f>
        <v>128.1247</v>
      </c>
      <c r="BF3" s="6" t="str">
        <f>(COUNTA(BE7:BE41)&amp;" of "&amp;ROWS(BE7:BE41)&amp;" parts found")</f>
        <v>5 of 35 parts found</v>
      </c>
    </row>
    <row r="4" spans="1:58">
      <c r="A4" s="1" t="s">
        <v>344</v>
      </c>
      <c r="B4" s="2" t="s">
        <v>345</v>
      </c>
    </row>
    <row r="5" spans="1:58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177</v>
      </c>
      <c r="L5" s="8"/>
      <c r="M5" s="8"/>
      <c r="N5" s="8"/>
      <c r="O5" s="8"/>
      <c r="P5" s="8"/>
      <c r="Q5" s="9" t="s">
        <v>192</v>
      </c>
      <c r="R5" s="9"/>
      <c r="S5" s="9"/>
      <c r="T5" s="9"/>
      <c r="U5" s="9"/>
      <c r="V5" s="9"/>
      <c r="W5" s="10" t="s">
        <v>222</v>
      </c>
      <c r="X5" s="10"/>
      <c r="Y5" s="10"/>
      <c r="Z5" s="10"/>
      <c r="AA5" s="10"/>
      <c r="AB5" s="10"/>
      <c r="AC5" s="11" t="s">
        <v>248</v>
      </c>
      <c r="AD5" s="11"/>
      <c r="AE5" s="11"/>
      <c r="AF5" s="11"/>
      <c r="AG5" s="11"/>
      <c r="AH5" s="11"/>
      <c r="AI5" s="12" t="s">
        <v>261</v>
      </c>
      <c r="AJ5" s="12"/>
      <c r="AK5" s="12"/>
      <c r="AL5" s="12"/>
      <c r="AM5" s="12"/>
      <c r="AN5" s="12"/>
      <c r="AO5" s="13" t="s">
        <v>289</v>
      </c>
      <c r="AP5" s="13"/>
      <c r="AQ5" s="13"/>
      <c r="AR5" s="13"/>
      <c r="AS5" s="13"/>
      <c r="AT5" s="13"/>
      <c r="AU5" s="14" t="s">
        <v>315</v>
      </c>
      <c r="AV5" s="14"/>
      <c r="AW5" s="14"/>
      <c r="AX5" s="14"/>
      <c r="AY5" s="14"/>
      <c r="AZ5" s="14"/>
      <c r="BA5" s="15" t="s">
        <v>329</v>
      </c>
      <c r="BB5" s="15"/>
      <c r="BC5" s="15"/>
      <c r="BD5" s="15"/>
      <c r="BE5" s="15"/>
      <c r="BF5" s="15"/>
    </row>
    <row r="6" spans="1:5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178</v>
      </c>
      <c r="L6" s="16" t="s">
        <v>179</v>
      </c>
      <c r="M6" s="16" t="s">
        <v>9</v>
      </c>
      <c r="N6" s="16" t="s">
        <v>180</v>
      </c>
      <c r="O6" s="16" t="s">
        <v>10</v>
      </c>
      <c r="P6" s="16" t="s">
        <v>181</v>
      </c>
      <c r="Q6" s="16" t="s">
        <v>178</v>
      </c>
      <c r="R6" s="16" t="s">
        <v>179</v>
      </c>
      <c r="S6" s="16" t="s">
        <v>9</v>
      </c>
      <c r="T6" s="16" t="s">
        <v>180</v>
      </c>
      <c r="U6" s="16" t="s">
        <v>10</v>
      </c>
      <c r="V6" s="16" t="s">
        <v>181</v>
      </c>
      <c r="W6" s="16" t="s">
        <v>178</v>
      </c>
      <c r="X6" s="16" t="s">
        <v>179</v>
      </c>
      <c r="Y6" s="16" t="s">
        <v>9</v>
      </c>
      <c r="Z6" s="16" t="s">
        <v>180</v>
      </c>
      <c r="AA6" s="16" t="s">
        <v>10</v>
      </c>
      <c r="AB6" s="16" t="s">
        <v>181</v>
      </c>
      <c r="AC6" s="16" t="s">
        <v>178</v>
      </c>
      <c r="AD6" s="16" t="s">
        <v>179</v>
      </c>
      <c r="AE6" s="16" t="s">
        <v>9</v>
      </c>
      <c r="AF6" s="16" t="s">
        <v>180</v>
      </c>
      <c r="AG6" s="16" t="s">
        <v>10</v>
      </c>
      <c r="AH6" s="16" t="s">
        <v>181</v>
      </c>
      <c r="AI6" s="16" t="s">
        <v>178</v>
      </c>
      <c r="AJ6" s="16" t="s">
        <v>179</v>
      </c>
      <c r="AK6" s="16" t="s">
        <v>9</v>
      </c>
      <c r="AL6" s="16" t="s">
        <v>180</v>
      </c>
      <c r="AM6" s="16" t="s">
        <v>10</v>
      </c>
      <c r="AN6" s="16" t="s">
        <v>181</v>
      </c>
      <c r="AO6" s="16" t="s">
        <v>178</v>
      </c>
      <c r="AP6" s="16" t="s">
        <v>179</v>
      </c>
      <c r="AQ6" s="16" t="s">
        <v>9</v>
      </c>
      <c r="AR6" s="16" t="s">
        <v>180</v>
      </c>
      <c r="AS6" s="16" t="s">
        <v>10</v>
      </c>
      <c r="AT6" s="16" t="s">
        <v>181</v>
      </c>
      <c r="AU6" s="16" t="s">
        <v>178</v>
      </c>
      <c r="AV6" s="16" t="s">
        <v>179</v>
      </c>
      <c r="AW6" s="16" t="s">
        <v>9</v>
      </c>
      <c r="AX6" s="16" t="s">
        <v>180</v>
      </c>
      <c r="AY6" s="16" t="s">
        <v>10</v>
      </c>
      <c r="AZ6" s="16" t="s">
        <v>181</v>
      </c>
      <c r="BA6" s="16" t="s">
        <v>178</v>
      </c>
      <c r="BB6" s="16" t="s">
        <v>179</v>
      </c>
      <c r="BC6" s="16" t="s">
        <v>9</v>
      </c>
      <c r="BD6" s="16" t="s">
        <v>180</v>
      </c>
      <c r="BE6" s="16" t="s">
        <v>10</v>
      </c>
      <c r="BF6" s="16" t="s">
        <v>181</v>
      </c>
    </row>
    <row r="7" spans="1:58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>
        <f>CEILING(BoardQty*2.0,1)</f>
        <v>200</v>
      </c>
      <c r="I7" s="18">
        <f>IF(MIN(M7,S7,Y7,AE7,AK7,AQ7,AW7,BC7)&lt;&gt;0,MIN(M7,S7,Y7,AE7,AK7,AQ7,AW7,BC7),"")</f>
        <v>0.0426</v>
      </c>
      <c r="J7" s="19">
        <f>IF(AND(ISNUMBER(H7),ISNUMBER(I7)),H7*I7,"")</f>
        <v>8.52</v>
      </c>
      <c r="Q7" s="17">
        <v>30000</v>
      </c>
      <c r="R7" s="17"/>
      <c r="S7" s="18">
        <f>IFERROR(IF(OR(R7&gt;=T7,H7&gt;=T7),LOOKUP(IF(R7="",H7,R7),{0,1,10,50,100,500,1000,2500,5000,10000,20000},{0.0,0.28,0.19,0.1138,0.0961,0.06578,0.05819,0.05566,0.0506,0.04807,0.04554}),"MOQ="&amp;T7),"")</f>
        <v>0.0961</v>
      </c>
      <c r="T7" s="17">
        <v>1</v>
      </c>
      <c r="U7" s="19">
        <f>IFERROR(IF(R7="",H7,R7)*S7,"")</f>
        <v>19.22</v>
      </c>
      <c r="V7" s="17" t="s">
        <v>193</v>
      </c>
      <c r="W7" s="17">
        <v>19480</v>
      </c>
      <c r="X7" s="17"/>
      <c r="Y7" s="18">
        <f>IFERROR(IF(OR(X7&gt;=Z7,H7&gt;=Z7),USD_GBP*LOOKUP(IF(X7="",H7,X7),{0,1,10,100,500,2500,5000,10000,50000},{0.0,0.127,0.127,0.105,0.0523,0.05,0.0456,0.0432,0.0386}),"MOQ="&amp;Z7),"")</f>
        <v>0.14278389194597296</v>
      </c>
      <c r="Z7" s="17">
        <v>10</v>
      </c>
      <c r="AA7" s="19">
        <f>IFERROR(IF(X7="",H7,X7)*Y7,"")</f>
        <v>28.5568</v>
      </c>
      <c r="AB7" s="17" t="s">
        <v>223</v>
      </c>
      <c r="AC7" s="17">
        <v>39600</v>
      </c>
      <c r="AD7" s="17"/>
      <c r="AE7" s="18">
        <f>IFERROR(IF(OR(AD7&gt;=AF7,H7&gt;=AF7),LOOKUP(IF(AD7="",H7,AD7),{0,1,10,100,300,1000,5000,10000},{0.0,0.052,0.052,0.0426,0.0359,0.0303,0.0293,0.0288}),"MOQ="&amp;AF7),"")</f>
        <v>0.0426</v>
      </c>
      <c r="AF7" s="17">
        <v>10</v>
      </c>
      <c r="AG7" s="19">
        <f>IFERROR(IF(AD7="",H7,AD7)*AE7,"")</f>
        <v>8.52</v>
      </c>
      <c r="AH7" s="17" t="s">
        <v>249</v>
      </c>
      <c r="AI7" s="17">
        <v>4348</v>
      </c>
      <c r="AJ7" s="17"/>
      <c r="AK7" s="18">
        <f>IFERROR(IF(OR(AJ7&gt;=AL7,H7&gt;=AL7),LOOKUP(IF(AJ7="",H7,AJ7),{0,1,10,50,100,1000,10000},{0.0,0.28,0.114,0.114,0.097,0.059,0.048}),"MOQ="&amp;AL7),"")</f>
        <v>0.097</v>
      </c>
      <c r="AL7" s="17">
        <v>1</v>
      </c>
      <c r="AM7" s="19">
        <f>IFERROR(IF(AJ7="",H7,AJ7)*AK7,"")</f>
        <v>19.4</v>
      </c>
      <c r="AN7" s="17" t="s">
        <v>262</v>
      </c>
      <c r="AO7" s="17">
        <v>19480</v>
      </c>
      <c r="AP7" s="17"/>
      <c r="AQ7" s="18">
        <f>IFERROR(IF(OR(AP7&gt;=AR7,H7&gt;=AR7),LOOKUP(IF(AP7="",H7,AP7),{0,1,10,25,50,100},{0.0,0.238,0.238,0.199,0.16,0.121}),"MOQ="&amp;AR7),"")</f>
        <v>0.121</v>
      </c>
      <c r="AR7" s="17">
        <v>10</v>
      </c>
      <c r="AS7" s="19">
        <f>IFERROR(IF(AP7="",H7,AP7)*AQ7,"")</f>
        <v>24.2</v>
      </c>
      <c r="AT7" s="17" t="s">
        <v>290</v>
      </c>
    </row>
    <row r="8" spans="1:58">
      <c r="A8" s="17" t="s">
        <v>18</v>
      </c>
      <c r="B8" s="17" t="s">
        <v>12</v>
      </c>
      <c r="C8" s="17" t="s">
        <v>19</v>
      </c>
      <c r="D8" s="17" t="s">
        <v>20</v>
      </c>
      <c r="E8" s="17" t="s">
        <v>21</v>
      </c>
      <c r="F8" s="17" t="s">
        <v>16</v>
      </c>
      <c r="G8" s="17" t="s">
        <v>22</v>
      </c>
      <c r="H8" s="17">
        <f>CEILING(BoardQty*3.0,1)</f>
        <v>300</v>
      </c>
      <c r="I8" s="18">
        <f>IF(MIN(M8,S8,Y8,AE8,AK8,AQ8,AW8,BC8)&lt;&gt;0,MIN(M8,S8,Y8,AE8,AK8,AQ8,AW8,BC8),"")</f>
        <v>0.0376</v>
      </c>
      <c r="J8" s="19">
        <f>IF(AND(ISNUMBER(H8),ISNUMBER(I8)),H8*I8,"")</f>
        <v>11.28</v>
      </c>
      <c r="K8" s="17">
        <v>116384</v>
      </c>
      <c r="L8" s="17"/>
      <c r="M8" s="18">
        <f>IFERROR(IF(OR(L8&gt;=N8,H8&gt;=N8),LOOKUP(IF(L8="",H8,L8),{0,1},{0.0,0.0495}),"MOQ="&amp;N8),"")</f>
        <v>0.0495</v>
      </c>
      <c r="N8" s="17">
        <v>1</v>
      </c>
      <c r="O8" s="19">
        <f>IFERROR(IF(L8="",H8,L8)*M8,"")</f>
        <v>14.85</v>
      </c>
      <c r="P8" s="17" t="s">
        <v>22</v>
      </c>
      <c r="Q8" s="20" t="s">
        <v>195</v>
      </c>
      <c r="R8" s="17"/>
      <c r="S8" s="18">
        <f>IFERROR(IF(OR(R8&gt;=T8,H8&gt;=T8),LOOKUP(IF(R8="",H8,R8),{0,1,10,50,100,500,1000,2500,5000,15000,30000},{0.0,0.24,0.165,0.11,0.0935,0.066,0.05775,0.055,0.05088,0.04565,0.044}),"MOQ="&amp;T8),"")</f>
        <v>0.0935</v>
      </c>
      <c r="T8" s="17">
        <v>1</v>
      </c>
      <c r="U8" s="19">
        <f>IFERROR(IF(R8="",H8,R8)*S8,"")</f>
        <v>28.05</v>
      </c>
      <c r="V8" s="17" t="s">
        <v>194</v>
      </c>
      <c r="W8" s="20" t="s">
        <v>195</v>
      </c>
      <c r="X8" s="17"/>
      <c r="Y8" s="18">
        <f>IFERROR(IF(OR(X8&gt;=Z8,H8&gt;=Z8),USD_GBP*LOOKUP(IF(X8="",H8,X8),{0,1,10,100,500,2500,7500,15000,75000},{0.0,0.152,0.152,0.106,0.0837,0.0636,0.053,0.052,0.0445}),"MOQ="&amp;Z8),"")</f>
        <v>0.14414373853593462</v>
      </c>
      <c r="Z8" s="17">
        <v>10</v>
      </c>
      <c r="AA8" s="19">
        <f>IFERROR(IF(X8="",H8,X8)*Y8,"")</f>
        <v>43.2431</v>
      </c>
      <c r="AB8" s="17" t="s">
        <v>224</v>
      </c>
      <c r="AC8" s="17">
        <v>1970</v>
      </c>
      <c r="AD8" s="17"/>
      <c r="AE8" s="18">
        <f>IFERROR(IF(OR(AD8&gt;=AF8,H8&gt;=AF8),LOOKUP(IF(AD8="",H8,AD8),{0,1,10,100,300,1000,5000,10000},{0.0,0.0538,0.0538,0.0444,0.0376,0.032,0.031,0.0305}),"MOQ="&amp;AF8),"")</f>
        <v>0.0376</v>
      </c>
      <c r="AF8" s="17">
        <v>10</v>
      </c>
      <c r="AG8" s="19">
        <f>IFERROR(IF(AD8="",H8,AD8)*AE8,"")</f>
        <v>11.28</v>
      </c>
      <c r="AH8" s="17" t="s">
        <v>250</v>
      </c>
      <c r="AI8" s="20" t="s">
        <v>195</v>
      </c>
      <c r="AJ8" s="17"/>
      <c r="AK8" s="18">
        <f>IFERROR(IF(OR(AJ8&gt;=AL8,H8&gt;=AL8),LOOKUP(IF(AJ8="",H8,AJ8),{0,1,10,50,100,1000,10000},{0.0,0.24,0.119,0.119,0.094,0.067,0.052}),"MOQ="&amp;AL8),"")</f>
        <v>0.094</v>
      </c>
      <c r="AL8" s="17">
        <v>1</v>
      </c>
      <c r="AM8" s="19">
        <f>IFERROR(IF(AJ8="",H8,AJ8)*AK8,"")</f>
        <v>28.2</v>
      </c>
      <c r="AN8" s="17" t="s">
        <v>263</v>
      </c>
      <c r="AO8" s="20" t="s">
        <v>195</v>
      </c>
      <c r="AP8" s="17"/>
      <c r="AQ8" s="18">
        <f>IFERROR(IF(OR(AP8&gt;=AR8,H8&gt;=AR8),LOOKUP(IF(AP8="",H8,AP8),{0,1,10,25,50,100,15000},{0.0,0.3,0.205,0.176,0.146,0.116,0.062}),"MOQ="&amp;AR8),"")</f>
        <v>0.116</v>
      </c>
      <c r="AR8" s="17">
        <v>1</v>
      </c>
      <c r="AS8" s="19">
        <f>IFERROR(IF(AP8="",H8,AP8)*AQ8,"")</f>
        <v>34.8</v>
      </c>
      <c r="AT8" s="17" t="s">
        <v>291</v>
      </c>
    </row>
    <row r="9" spans="1:58">
      <c r="A9" s="17" t="s">
        <v>23</v>
      </c>
      <c r="B9" s="17" t="s">
        <v>12</v>
      </c>
      <c r="C9" s="17" t="s">
        <v>24</v>
      </c>
      <c r="D9" s="17" t="s">
        <v>25</v>
      </c>
      <c r="E9" s="17" t="s">
        <v>21</v>
      </c>
      <c r="F9" s="17" t="s">
        <v>16</v>
      </c>
      <c r="G9" s="17" t="s">
        <v>26</v>
      </c>
      <c r="H9" s="17">
        <f>CEILING(BoardQty*3.0,1)</f>
        <v>300</v>
      </c>
      <c r="I9" s="18">
        <f>IF(MIN(M9,S9,Y9,AE9,AK9,AQ9,AW9,BC9)&lt;&gt;0,MIN(M9,S9,Y9,AE9,AK9,AQ9,AW9,BC9),"")</f>
        <v>0.09</v>
      </c>
      <c r="J9" s="19">
        <f>IF(AND(ISNUMBER(H9),ISNUMBER(I9)),H9*I9,"")</f>
        <v>27.0</v>
      </c>
      <c r="K9" s="17">
        <v>96995</v>
      </c>
      <c r="L9" s="17"/>
      <c r="M9" s="18">
        <f>IFERROR(IF(OR(L9&gt;=N9,H9&gt;=N9),LOOKUP(IF(L9="",H9,L9),{0,1,10,25,100,250,500,1000,3000,6000,15000,30000,75000},{0.0,0.412,0.2218,0.2109,0.1816,0.1802,0.161,0.1097,0.1086,0.0992,0.0982,0.0947,0.0887}),"MOQ="&amp;N9),"")</f>
        <v>0.1802</v>
      </c>
      <c r="N9" s="17">
        <v>1</v>
      </c>
      <c r="O9" s="19">
        <f>IFERROR(IF(L9="",H9,L9)*M9,"")</f>
        <v>54.06</v>
      </c>
      <c r="P9" s="17" t="s">
        <v>26</v>
      </c>
      <c r="Q9" s="17">
        <v>1905460</v>
      </c>
      <c r="R9" s="17"/>
      <c r="S9" s="18">
        <f>IFERROR(IF(OR(R9&gt;=T9,H9&gt;=T9),LOOKUP(IF(R9="",H9,R9),{0,1,10,50,100,500,1000,2500,5000,10000,20000},{0.0,0.42,0.294,0.2056,0.1762,0.13216,0.11161,0.10573,0.09986,0.09398,0.09105}),"MOQ="&amp;T9),"")</f>
        <v>0.1762</v>
      </c>
      <c r="T9" s="17">
        <v>1</v>
      </c>
      <c r="U9" s="19">
        <f>IFERROR(IF(R9="",H9,R9)*S9,"")</f>
        <v>52.86</v>
      </c>
      <c r="V9" s="17" t="s">
        <v>196</v>
      </c>
      <c r="W9" s="17">
        <v>74000</v>
      </c>
      <c r="X9" s="17"/>
      <c r="Y9" s="18">
        <f>IFERROR(IF(OR(X9&gt;=Z9,H9&gt;=Z9),USD_GBP*LOOKUP(IF(X9="",H9,X9),{0,1,10,100,500,2500,5000,10000,50000},{0.0,0.227,0.227,0.184,0.102,0.0969,0.0853,0.0836,0.0716}),"MOQ="&amp;Z9),"")</f>
        <v>0.25021177255294313</v>
      </c>
      <c r="Z9" s="17">
        <v>10</v>
      </c>
      <c r="AA9" s="19">
        <f>IFERROR(IF(X9="",H9,X9)*Y9,"")</f>
        <v>75.0635</v>
      </c>
      <c r="AB9" s="17" t="s">
        <v>225</v>
      </c>
      <c r="AC9" s="17">
        <v>73535</v>
      </c>
      <c r="AD9" s="17"/>
      <c r="AE9" s="18">
        <f>IFERROR(IF(OR(AD9&gt;=AF9,H9&gt;=AF9),LOOKUP(IF(AD9="",H9,AD9),{0,1,5,50,150,500,2500,5000},{0.0,0.1304,0.1304,0.107,0.09,0.076,0.0736,0.0724}),"MOQ="&amp;AF9),"")</f>
        <v>0.09</v>
      </c>
      <c r="AF9" s="17">
        <v>5</v>
      </c>
      <c r="AG9" s="19">
        <f>IFERROR(IF(AD9="",H9,AD9)*AE9,"")</f>
        <v>27.0</v>
      </c>
      <c r="AH9" s="17" t="s">
        <v>251</v>
      </c>
      <c r="AI9" s="17">
        <v>267120</v>
      </c>
      <c r="AJ9" s="17"/>
      <c r="AK9" s="18">
        <f>IFERROR(IF(OR(AJ9&gt;=AL9,H9&gt;=AL9),LOOKUP(IF(AJ9="",H9,AJ9),{0,1,10,50,100,1000,10000},{0.0,0.42,0.206,0.206,0.177,0.112,0.094}),"MOQ="&amp;AL9),"")</f>
        <v>0.177</v>
      </c>
      <c r="AL9" s="17">
        <v>1</v>
      </c>
      <c r="AM9" s="19">
        <f>IFERROR(IF(AJ9="",H9,AJ9)*AK9,"")</f>
        <v>53.1</v>
      </c>
      <c r="AN9" s="17" t="s">
        <v>264</v>
      </c>
      <c r="AO9" s="17">
        <v>74000</v>
      </c>
      <c r="AP9" s="17"/>
      <c r="AQ9" s="18">
        <f>IFERROR(IF(OR(AP9&gt;=AR9,H9&gt;=AR9),LOOKUP(IF(AP9="",H9,AP9),{0,1,10,25,50,100,10000,20000},{0.0,0.504,0.247,0.236,0.224,0.212,0.111,0.109}),"MOQ="&amp;AR9),"")</f>
        <v>0.212</v>
      </c>
      <c r="AR9" s="17">
        <v>1</v>
      </c>
      <c r="AS9" s="19">
        <f>IFERROR(IF(AP9="",H9,AP9)*AQ9,"")</f>
        <v>63.6</v>
      </c>
      <c r="AT9" s="17" t="s">
        <v>292</v>
      </c>
    </row>
    <row r="10" spans="1:58" ht="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21</v>
      </c>
      <c r="F10" s="17" t="s">
        <v>16</v>
      </c>
      <c r="G10" s="17" t="s">
        <v>31</v>
      </c>
      <c r="H10" s="17">
        <f>CEILING(BoardQty*12.0,1)</f>
        <v>1200</v>
      </c>
      <c r="I10" s="18">
        <f>IF(MIN(M10,S10,Y10,AE10,AK10,AQ10,AW10,BC10)&lt;&gt;0,MIN(M10,S10,Y10,AE10,AK10,AQ10,AW10,BC10),"")</f>
        <v>0.0036</v>
      </c>
      <c r="J10" s="19">
        <f>IF(AND(ISNUMBER(H10),ISNUMBER(I10)),H10*I10,"")</f>
        <v>4.32</v>
      </c>
      <c r="K10" s="17">
        <v>810000</v>
      </c>
      <c r="L10" s="17"/>
      <c r="M10" s="18">
        <f>IFERROR(IF(OR(L10&gt;=N10,H10&gt;=N10),LOOKUP(IF(L10="",H10,L10),{0,1,10,25,100,250,500,1000,3000,6000,15000,30000},{0.0,0.0716,0.0369,0.0305,0.0155,0.0147,0.0105,0.0101,0.0098,0.0097,0.0061,0.006}),"MOQ="&amp;N10),"")</f>
        <v>0.0101</v>
      </c>
      <c r="N10" s="17">
        <v>1</v>
      </c>
      <c r="O10" s="19">
        <f>IFERROR(IF(L10="",H10,L10)*M10,"")</f>
        <v>12.12</v>
      </c>
      <c r="P10" s="17" t="s">
        <v>31</v>
      </c>
      <c r="Q10" s="17">
        <v>4282655</v>
      </c>
      <c r="R10" s="17"/>
      <c r="S10" s="18">
        <f>IFERROR(IF(OR(R10&gt;=T10,H10&gt;=T10),LOOKUP(IF(R10="",H10,R10),{0,1,10,50,100,500,1000,2500,5000,15000,30000},{0.0,0.1,0.033,0.0178,0.0146,0.0104,0.00817,0.00742,0.00683,0.00594,0.00564}),"MOQ="&amp;T10),"")</f>
        <v>0.00817</v>
      </c>
      <c r="T10" s="17">
        <v>1</v>
      </c>
      <c r="U10" s="19">
        <f>IFERROR(IF(R10="",H10,R10)*S10,"")</f>
        <v>9.804</v>
      </c>
      <c r="V10" s="17" t="s">
        <v>197</v>
      </c>
      <c r="W10" s="17">
        <v>150000</v>
      </c>
      <c r="X10" s="17"/>
      <c r="Y10" s="18">
        <f>IFERROR(IF(OR(X10&gt;=Z10,H10&gt;=Z10),USD_GBP*LOOKUP(IF(X10="",H10,X10),{0,1,10,100,500,2500,7500,15000,75000},{0.0,0.0206,0.0206,0.0168,0.009,0.006,0.0059,0.0054,0.0047}),"MOQ="&amp;Z10),"")</f>
        <v>0.012238619309654825</v>
      </c>
      <c r="Z10" s="17">
        <v>10</v>
      </c>
      <c r="AA10" s="19">
        <f>IFERROR(IF(X10="",H10,X10)*Y10,"")</f>
        <v>14.6863</v>
      </c>
      <c r="AB10" s="17" t="s">
        <v>226</v>
      </c>
      <c r="AC10" s="17">
        <v>21600</v>
      </c>
      <c r="AD10" s="17"/>
      <c r="AE10" s="18">
        <f>IFERROR(IF(OR(AD10&gt;=AF10,H10&gt;=AF10),LOOKUP(IF(AD10="",H10,AD10),{0,1,100,1000,3000,10000,50000,100000},{0.0,0.0043,0.0043,0.0036,0.0031,0.0027,0.0026,0.0026}),"MOQ="&amp;AF10),"")</f>
        <v>0.0036</v>
      </c>
      <c r="AF10" s="17">
        <v>100</v>
      </c>
      <c r="AG10" s="19">
        <f>IFERROR(IF(AD10="",H10,AD10)*AE10,"")</f>
        <v>4.32</v>
      </c>
      <c r="AH10" s="17" t="s">
        <v>252</v>
      </c>
      <c r="AI10" s="17">
        <v>580372</v>
      </c>
      <c r="AJ10" s="17"/>
      <c r="AK10" s="18">
        <f>IFERROR(IF(OR(AJ10&gt;=AL10,H10&gt;=AL10),LOOKUP(IF(AJ10="",H10,AJ10),{0,1,10,50,100,1000,10000},{0.0,0.1,0.034,0.034,0.015,0.009,0.007}),"MOQ="&amp;AL10),"")</f>
        <v>0.009</v>
      </c>
      <c r="AL10" s="17">
        <v>1</v>
      </c>
      <c r="AM10" s="19">
        <f>IFERROR(IF(AJ10="",H10,AJ10)*AK10,"")</f>
        <v>10.8</v>
      </c>
      <c r="AN10" s="17" t="s">
        <v>265</v>
      </c>
      <c r="AO10" s="17">
        <v>150000</v>
      </c>
      <c r="AP10" s="17"/>
      <c r="AQ10" s="18">
        <f>IFERROR(IF(OR(AP10&gt;=AR10,H10&gt;=AR10),LOOKUP(IF(AP10="",H10,AP10),{0,1,10,25,50,100,15000},{0.0,0.008,0.041,0.033,0.026,0.018,0.008}),"MOQ="&amp;AR10),"")</f>
        <v>0.018</v>
      </c>
      <c r="AR10" s="17">
        <v>1</v>
      </c>
      <c r="AS10" s="19">
        <f>IFERROR(IF(AP10="",H10,AP10)*AQ10,"")</f>
        <v>21.6</v>
      </c>
      <c r="AT10" s="17" t="s">
        <v>293</v>
      </c>
      <c r="AU10" s="17">
        <v>21000</v>
      </c>
      <c r="AV10" s="17"/>
      <c r="AW10" s="18">
        <f>IFERROR(IF(OR(AV10&gt;=AX10,H10&gt;=AX10),USD_GBP*LOOKUP(IF(AV10="",H10,AV10),{0,1,1000,5000,10000,15000,60000},{0.0,0.007,0.007,0.006,0.006,0.004,0.004}),"MOQ="&amp;AX10),"")</f>
        <v>0.009518926129731532</v>
      </c>
      <c r="AX10" s="17">
        <v>1000</v>
      </c>
      <c r="AY10" s="19">
        <f>IFERROR(IF(AV10="",H10,AV10)*AW10,"")</f>
        <v>11.4227</v>
      </c>
      <c r="AZ10" s="17" t="s">
        <v>316</v>
      </c>
    </row>
    <row r="11" spans="1:58">
      <c r="A11" s="17" t="s">
        <v>32</v>
      </c>
      <c r="B11" s="17" t="s">
        <v>12</v>
      </c>
      <c r="C11" s="17" t="s">
        <v>33</v>
      </c>
      <c r="D11" s="17" t="s">
        <v>34</v>
      </c>
      <c r="E11" s="17" t="s">
        <v>35</v>
      </c>
      <c r="F11" s="17" t="s">
        <v>16</v>
      </c>
      <c r="G11" s="17" t="s">
        <v>36</v>
      </c>
      <c r="H11" s="17">
        <f>CEILING(BoardQty*1.0,1)</f>
        <v>100</v>
      </c>
      <c r="I11" s="18">
        <f>IF(MIN(M11,S11,Y11,AE11,AK11,AQ11,AW11,BC11)&lt;&gt;0,MIN(M11,S11,Y11,AE11,AK11,AQ11,AW11,BC11),"")</f>
        <v>0.0308</v>
      </c>
      <c r="J11" s="19">
        <f>IF(AND(ISNUMBER(H11),ISNUMBER(I11)),H11*I11,"")</f>
        <v>3.08</v>
      </c>
      <c r="K11" s="17">
        <v>1199</v>
      </c>
      <c r="L11" s="17"/>
      <c r="M11" s="18">
        <f>IFERROR(IF(OR(L11&gt;=N11,H11&gt;=N11),LOOKUP(IF(L11="",H11,L11),{0,1,10,25,50,100,250,500,1000},{0.0,0.3459,0.2528,0.2367,0.1706,0.1481,0.1467,0.1044,0.1033}),"MOQ="&amp;N11),"")</f>
        <v>0.1481</v>
      </c>
      <c r="N11" s="17">
        <v>1</v>
      </c>
      <c r="O11" s="19">
        <f>IFERROR(IF(L11="",H11,L11)*M11,"")</f>
        <v>14.81</v>
      </c>
      <c r="P11" s="17" t="s">
        <v>36</v>
      </c>
      <c r="Q11" s="17">
        <v>5749</v>
      </c>
      <c r="R11" s="17"/>
      <c r="S11" s="18">
        <f>IFERROR(IF(OR(R11&gt;=T11,H11&gt;=T11),LOOKUP(IF(R11="",H11,R11),{0,1,10,50,100,500,1000,4000,8000},{0.0,0.36,0.247,0.1728,0.1482,0.11112,0.09384,0.07633,0.07184}),"MOQ="&amp;T11),"")</f>
        <v>0.1482</v>
      </c>
      <c r="T11" s="17">
        <v>1</v>
      </c>
      <c r="U11" s="19">
        <f>IFERROR(IF(R11="",H11,R11)*S11,"")</f>
        <v>14.82</v>
      </c>
      <c r="V11" s="17" t="s">
        <v>198</v>
      </c>
      <c r="W11" s="17">
        <v>10070</v>
      </c>
      <c r="X11" s="17"/>
      <c r="Y11" s="18">
        <f>IFERROR(IF(OR(X11&gt;=Z11,H11&gt;=Z11),USD_GBP*LOOKUP(IF(X11="",H11,X11),{0,1,10,100,500,1000,2000,4000,20000},{0.0,0.301,0.301,0.162,0.106,0.09,0.0828,0.0756,0.0741}),"MOQ="&amp;Z11),"")</f>
        <v>0.22029514757378688</v>
      </c>
      <c r="Z11" s="17">
        <v>10</v>
      </c>
      <c r="AA11" s="19">
        <f>IFERROR(IF(X11="",H11,X11)*Y11,"")</f>
        <v>22.0295</v>
      </c>
      <c r="AB11" s="17" t="s">
        <v>227</v>
      </c>
      <c r="AC11" s="17">
        <v>8825</v>
      </c>
      <c r="AD11" s="17"/>
      <c r="AE11" s="18">
        <f>IFERROR(IF(OR(AD11&gt;=AF11,H11&gt;=AF11),LOOKUP(IF(AD11="",H11,AD11),{0,1,5,50,150,500,2500,5000},{0.0,0.0381,0.0381,0.0308,0.0255,0.0212,0.0204,0.0201}),"MOQ="&amp;AF11),"")</f>
        <v>0.0308</v>
      </c>
      <c r="AF11" s="17">
        <v>5</v>
      </c>
      <c r="AG11" s="19">
        <f>IFERROR(IF(AD11="",H11,AD11)*AE11,"")</f>
        <v>3.08</v>
      </c>
      <c r="AH11" s="17" t="s">
        <v>253</v>
      </c>
      <c r="AI11" s="17">
        <v>4000</v>
      </c>
      <c r="AJ11" s="17"/>
      <c r="AK11" s="18">
        <f>IFERROR(IF(OR(AJ11&gt;=AL11,H11&gt;=AL11),LOOKUP(IF(AJ11="",H11,AJ11),{0,1,10,50,100,1000,10000},{0.0,0.37,0.258,0.258,0.154,0.098,0.083}),"MOQ="&amp;AL11),"")</f>
        <v>0.154</v>
      </c>
      <c r="AL11" s="17">
        <v>1</v>
      </c>
      <c r="AM11" s="19">
        <f>IFERROR(IF(AJ11="",H11,AJ11)*AK11,"")</f>
        <v>15.4</v>
      </c>
      <c r="AN11" s="17" t="s">
        <v>266</v>
      </c>
      <c r="AO11" s="17">
        <v>10070</v>
      </c>
      <c r="AP11" s="17"/>
      <c r="AQ11" s="18">
        <f>IFERROR(IF(OR(AP11&gt;=AR11,H11&gt;=AR11),LOOKUP(IF(AP11="",H11,AP11),{0,1,10,25,50,100},{0.0,0.444,0.31,0.268,0.226,0.185}),"MOQ="&amp;AR11),"")</f>
        <v>0.185</v>
      </c>
      <c r="AR11" s="17">
        <v>1</v>
      </c>
      <c r="AS11" s="19">
        <f>IFERROR(IF(AP11="",H11,AP11)*AQ11,"")</f>
        <v>18.5</v>
      </c>
      <c r="AT11" s="17" t="s">
        <v>294</v>
      </c>
    </row>
    <row r="12" spans="1:58">
      <c r="A12" s="17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7" t="s">
        <v>42</v>
      </c>
      <c r="G12" s="17" t="s">
        <v>43</v>
      </c>
      <c r="H12" s="17">
        <f>CEILING(BoardQty*2.0,1)</f>
        <v>200</v>
      </c>
      <c r="I12" s="18">
        <f>IF(MIN(M12,S12,Y12,AE12,AK12,AQ12,AW12,BC12)&lt;&gt;0,MIN(M12,S12,Y12,AE12,AK12,AQ12,AW12,BC12),"")</f>
        <v>0.1550225112556278</v>
      </c>
      <c r="J12" s="19">
        <f>IF(AND(ISNUMBER(H12),ISNUMBER(I12)),H12*I12,"")</f>
        <v>31.0045</v>
      </c>
      <c r="Q12" s="20" t="s">
        <v>195</v>
      </c>
      <c r="R12" s="17"/>
      <c r="S12" s="18">
        <f>IFERROR(IF(OR(R12&gt;=T12,H12&gt;=T12),LOOKUP(IF(R12="",H12,R12),{0,1,10,50,100,500,1000,4000},{0.0,0.39,0.27,0.1888,0.1618,0.12136,0.10248,0.09169}),"MOQ="&amp;T12),"")</f>
        <v>0.1618</v>
      </c>
      <c r="T12" s="17">
        <v>1</v>
      </c>
      <c r="U12" s="19">
        <f>IFERROR(IF(R12="",H12,R12)*S12,"")</f>
        <v>32.36</v>
      </c>
      <c r="V12" s="17" t="s">
        <v>199</v>
      </c>
      <c r="W12" s="20" t="s">
        <v>195</v>
      </c>
      <c r="X12" s="17"/>
      <c r="Y12" s="18">
        <f>IFERROR(IF(OR(X12&gt;=Z12,H12&gt;=Z12),USD_GBP*LOOKUP(IF(X12="",H12,X12),{0,1,10,100,500,1000,2000,4000},{0.0,0.216,0.216,0.129,0.0969,0.0813,0.0796,0.061}),"MOQ="&amp;Z12),"")</f>
        <v>0.17542021010505252</v>
      </c>
      <c r="Z12" s="17">
        <v>10</v>
      </c>
      <c r="AA12" s="19">
        <f>IFERROR(IF(X12="",H12,X12)*Y12,"")</f>
        <v>35.084</v>
      </c>
      <c r="AB12" s="17" t="s">
        <v>228</v>
      </c>
      <c r="AI12" s="17">
        <v>8</v>
      </c>
      <c r="AJ12" s="17"/>
      <c r="AK12" s="18">
        <f>IFERROR(IF(OR(AJ12&gt;=AL12,H12&gt;=AL12),LOOKUP(IF(AJ12="",H12,AJ12),{0,1,10,50,100,1000,10000},{0.0,0.36,0.27,0.27,0.161,0.102,0.075}),"MOQ="&amp;AL12),"")</f>
        <v>0.161</v>
      </c>
      <c r="AL12" s="17">
        <v>1</v>
      </c>
      <c r="AM12" s="19">
        <f>IFERROR(IF(AJ12="",H12,AJ12)*AK12,"")</f>
        <v>32.2</v>
      </c>
      <c r="AN12" s="17" t="s">
        <v>267</v>
      </c>
      <c r="AO12" s="20" t="s">
        <v>195</v>
      </c>
      <c r="AP12" s="17"/>
      <c r="AQ12" s="18">
        <f>IFERROR(IF(OR(AP12&gt;=AR12,H12&gt;=AR12),LOOKUP(IF(AP12="",H12,AP12),{0,1,10,25,50,100,4000},{0.0,0.27,0.27,0.234,0.197,0.161,0.128}),"MOQ="&amp;AR12),"")</f>
        <v>0.161</v>
      </c>
      <c r="AR12" s="17">
        <v>10</v>
      </c>
      <c r="AS12" s="19">
        <f>IFERROR(IF(AP12="",H12,AP12)*AQ12,"")</f>
        <v>32.2</v>
      </c>
      <c r="AT12" s="17" t="s">
        <v>295</v>
      </c>
      <c r="AU12" s="17">
        <v>20</v>
      </c>
      <c r="AV12" s="17"/>
      <c r="AW12" s="18">
        <f>IFERROR(IF(OR(AV12&gt;=AX12,H12&gt;=AX12),USD_GBP*LOOKUP(IF(AV12="",H12,AV12),{0,1,20,100,500,1000,2000,4000,16000},{0.0,0.206,0.206,0.114,0.093,0.082,0.08,0.06,0.058}),"MOQ="&amp;AX12),"")</f>
        <v>0.1550225112556278</v>
      </c>
      <c r="AX12" s="17">
        <v>20</v>
      </c>
      <c r="AY12" s="19">
        <f>IFERROR(IF(AV12="",H12,AV12)*AW12,"")</f>
        <v>31.0045</v>
      </c>
      <c r="AZ12" s="17" t="s">
        <v>317</v>
      </c>
    </row>
    <row r="13" spans="1:58" ht="30" customHeight="1">
      <c r="A13" s="17" t="s">
        <v>44</v>
      </c>
      <c r="B13" s="17" t="s">
        <v>45</v>
      </c>
      <c r="C13" s="17" t="s">
        <v>46</v>
      </c>
      <c r="E13" s="17" t="s">
        <v>47</v>
      </c>
      <c r="F13" s="17" t="s">
        <v>48</v>
      </c>
      <c r="G13" s="17" t="s">
        <v>45</v>
      </c>
      <c r="H13" s="17">
        <f>CEILING(BoardQty*1.0,1)</f>
        <v>100</v>
      </c>
      <c r="I13" s="18">
        <f>IF(MIN(M13,S13,Y13,AE13,AK13,AQ13,AW13,BC13)&lt;&gt;0,MIN(M13,S13,Y13,AE13,AK13,AQ13,AW13,BC13),"")</f>
        <v>0.10416424879106219</v>
      </c>
      <c r="J13" s="19">
        <f>IF(AND(ISNUMBER(H13),ISNUMBER(I13)),H13*I13,"")</f>
        <v>10.4164</v>
      </c>
      <c r="K13" s="17">
        <v>8187</v>
      </c>
      <c r="L13" s="17"/>
      <c r="M13" s="18">
        <f>IFERROR(IF(OR(L13&gt;=N13,H13&gt;=N13),LOOKUP(IF(L13="",H13,L13),{0,1,10,25,50,100,250,500,1000,3000,6000},{0.0,0.3923,0.2985,0.2461,0.2197,0.1118,0.1005,0.0905,0.0816,0.0763,0.0667}),"MOQ="&amp;N13),"")</f>
        <v>0.1118</v>
      </c>
      <c r="N13" s="17">
        <v>1</v>
      </c>
      <c r="O13" s="19">
        <f>IFERROR(IF(L13="",H13,L13)*M13,"")</f>
        <v>11.18</v>
      </c>
      <c r="P13" s="17" t="s">
        <v>182</v>
      </c>
      <c r="Q13" s="17">
        <v>40671</v>
      </c>
      <c r="R13" s="17"/>
      <c r="S13" s="18">
        <f>IFERROR(IF(OR(R13&gt;=T13,H13&gt;=T13),LOOKUP(IF(R13="",H13,R13),{0,1,10,100,500,1000,2000,4000,8000,12000,28000,100000},{0.0,0.32,0.256,0.115,0.10388,0.08533,0.0742,0.0742,0.06678,0.05936,0.05565,0.0525}),"MOQ="&amp;T13),"")</f>
        <v>0.115</v>
      </c>
      <c r="T13" s="17">
        <v>1</v>
      </c>
      <c r="U13" s="19">
        <f>IFERROR(IF(R13="",H13,R13)*S13,"")</f>
        <v>11.5</v>
      </c>
      <c r="V13" s="17" t="s">
        <v>200</v>
      </c>
      <c r="W13" s="20" t="s">
        <v>195</v>
      </c>
      <c r="X13" s="17"/>
      <c r="Y13" s="18">
        <f>IFERROR(IF(OR(X13&gt;=Z13,H13&gt;=Z13),USD_GBP*LOOKUP(IF(X13="",H13,X13),{0,1,4000},{0.0,0.0861,0.0861}),"MOQ="&amp;Z13),"")</f>
        <v/>
      </c>
      <c r="Z13" s="17">
        <v>4000</v>
      </c>
      <c r="AA13" s="19">
        <f>IFERROR(IF(X13="",H13,X13)*Y13,"")</f>
        <v/>
      </c>
      <c r="AB13" s="17" t="s">
        <v>229</v>
      </c>
      <c r="AI13" s="17">
        <v>2788</v>
      </c>
      <c r="AJ13" s="17"/>
      <c r="AK13" s="18">
        <f>IFERROR(IF(OR(AJ13&gt;=AL13,H13&gt;=AL13),LOOKUP(IF(AJ13="",H13,AJ13),{0,1,10,50,100,1000,10000},{0.0,0.48,0.266,0.266,0.108,0.089,0.056}),"MOQ="&amp;AL13),"")</f>
        <v>0.108</v>
      </c>
      <c r="AL13" s="17">
        <v>1</v>
      </c>
      <c r="AM13" s="19">
        <f>IFERROR(IF(AJ13="",H13,AJ13)*AK13,"")</f>
        <v>10.8</v>
      </c>
      <c r="AN13" s="17" t="s">
        <v>268</v>
      </c>
      <c r="AO13" s="20" t="s">
        <v>195</v>
      </c>
      <c r="AP13" s="17"/>
      <c r="AQ13" s="18">
        <f>IFERROR(IF(OR(AP13&gt;=AR13,H13&gt;=AR13),LOOKUP(IF(AP13="",H13,AP13),{0,1,4000},{0.0,0.103,0.103}),"MOQ="&amp;AR13),"")</f>
        <v/>
      </c>
      <c r="AR13" s="17">
        <v>4000</v>
      </c>
      <c r="AS13" s="19">
        <f>IFERROR(IF(AP13="",H13,AP13)*AQ13,"")</f>
        <v/>
      </c>
      <c r="AT13" s="17" t="s">
        <v>296</v>
      </c>
      <c r="BA13" s="17">
        <v>3145</v>
      </c>
      <c r="BB13" s="17"/>
      <c r="BC13" s="18">
        <f>IFERROR(IF(OR(BB13&gt;=BD13,H13&gt;=BD13),USD_GBP*LOOKUP(IF(BB13="",H13,BB13),{0,1,5,25,100,500,4000},{0.0,0.142,0.142,0.124,0.0766,0.0584,0.0438}),"MOQ="&amp;BD13),"")</f>
        <v>0.10416424879106219</v>
      </c>
      <c r="BD13" s="17">
        <v>5</v>
      </c>
      <c r="BE13" s="19">
        <f>IFERROR(IF(BB13="",H13,BB13)*BC13,"")</f>
        <v>10.4164</v>
      </c>
      <c r="BF13" s="17" t="s">
        <v>182</v>
      </c>
    </row>
    <row r="14" spans="1:58" ht="30" customHeight="1">
      <c r="A14" s="17" t="s">
        <v>49</v>
      </c>
      <c r="B14" s="17" t="s">
        <v>50</v>
      </c>
      <c r="C14" s="17" t="s">
        <v>51</v>
      </c>
      <c r="E14" s="17" t="s">
        <v>47</v>
      </c>
      <c r="F14" s="17" t="s">
        <v>48</v>
      </c>
      <c r="G14" s="17" t="s">
        <v>50</v>
      </c>
      <c r="H14" s="17">
        <f>CEILING(BoardQty*1.0,1)</f>
        <v>100</v>
      </c>
      <c r="I14" s="18">
        <f>IF(MIN(M14,S14,Y14,AE14,AK14,AQ14,AW14,BC14)&lt;&gt;0,MIN(M14,S14,Y14,AE14,AK14,AQ14,AW14,BC14),"")</f>
        <v>0.039</v>
      </c>
      <c r="J14" s="19">
        <f>IF(AND(ISNUMBER(H14),ISNUMBER(I14)),H14*I14,"")</f>
        <v>3.9</v>
      </c>
      <c r="Q14" s="17">
        <v>15573</v>
      </c>
      <c r="R14" s="17"/>
      <c r="S14" s="18">
        <f>IFERROR(IF(OR(R14&gt;=T14,H14&gt;=T14),LOOKUP(IF(R14="",H14,R14),{0,1,10,100,500,1000,2000,4000,8000,12000,28000,100000},{0.0,0.33,0.263,0.1183,0.10684,0.08777,0.07632,0.07632,0.06869,0.06106,0.05724,0.054}),"MOQ="&amp;T14),"")</f>
        <v>0.1183</v>
      </c>
      <c r="T14" s="17">
        <v>1</v>
      </c>
      <c r="U14" s="19">
        <f>IFERROR(IF(R14="",H14,R14)*S14,"")</f>
        <v>11.83</v>
      </c>
      <c r="V14" s="17" t="s">
        <v>201</v>
      </c>
      <c r="W14" s="17">
        <v>2816</v>
      </c>
      <c r="X14" s="17"/>
      <c r="Y14" s="18">
        <f>IFERROR(IF(OR(X14&gt;=Z14,H14&gt;=Z14),USD_GBP*LOOKUP(IF(X14="",H14,X14),{0,1,25,50,100,250,500},{0.0,0.277,0.22,0.161,0.0993,0.0942,0.0891}),"MOQ="&amp;Z14),"")</f>
        <v>0.1350327663831916</v>
      </c>
      <c r="Z14" s="17">
        <v>1</v>
      </c>
      <c r="AA14" s="19">
        <f>IFERROR(IF(X14="",H14,X14)*Y14,"")</f>
        <v>13.5033</v>
      </c>
      <c r="AB14" s="17" t="s">
        <v>230</v>
      </c>
      <c r="AI14" s="17">
        <v>12000</v>
      </c>
      <c r="AJ14" s="17"/>
      <c r="AK14" s="18">
        <f>IFERROR(IF(OR(AJ14&gt;=AL14,H14&gt;=AL14),LOOKUP(IF(AJ14="",H14,AJ14),{0,1,10,50,100,1000,10000},{0.0,0.49,0.274,0.274,0.111,0.092,0.057}),"MOQ="&amp;AL14),"")</f>
        <v>0.111</v>
      </c>
      <c r="AL14" s="17">
        <v>1</v>
      </c>
      <c r="AM14" s="19">
        <f>IFERROR(IF(AJ14="",H14,AJ14)*AK14,"")</f>
        <v>11.1</v>
      </c>
      <c r="AN14" s="17" t="s">
        <v>269</v>
      </c>
      <c r="AO14" s="17">
        <v>2816</v>
      </c>
      <c r="AP14" s="17"/>
      <c r="AQ14" s="18">
        <f>IFERROR(IF(OR(AP14&gt;=AR14,H14&gt;=AR14),LOOKUP(IF(AP14="",H14,AP14),{0,1,25,50,100,250,500},{0.0,0.039,0.039,0.039,0.039,0.039,0.039}),"MOQ="&amp;AR14),"")</f>
        <v>0.039</v>
      </c>
      <c r="AR14" s="17">
        <v>1</v>
      </c>
      <c r="AS14" s="19">
        <f>IFERROR(IF(AP14="",H14,AP14)*AQ14,"")</f>
        <v>3.9</v>
      </c>
      <c r="AT14" s="17" t="s">
        <v>297</v>
      </c>
      <c r="BA14" s="17">
        <v>1593</v>
      </c>
      <c r="BB14" s="17"/>
      <c r="BC14" s="18">
        <f>IFERROR(IF(OR(BB14&gt;=BD14,H14&gt;=BD14),USD_GBP*LOOKUP(IF(BB14="",H14,BB14),{0,1,5,25,100,500,4000},{0.0,0.142,0.142,0.1084,0.0766,0.0553,0.0398}),"MOQ="&amp;BD14),"")</f>
        <v>0.10416424879106219</v>
      </c>
      <c r="BD14" s="17">
        <v>5</v>
      </c>
      <c r="BE14" s="19">
        <f>IFERROR(IF(BB14="",H14,BB14)*BC14,"")</f>
        <v>10.4164</v>
      </c>
      <c r="BF14" s="17" t="s">
        <v>330</v>
      </c>
    </row>
    <row r="15" spans="1:58" ht="30" customHeight="1">
      <c r="A15" s="17" t="s">
        <v>52</v>
      </c>
      <c r="B15" s="17" t="s">
        <v>53</v>
      </c>
      <c r="C15" s="17" t="s">
        <v>54</v>
      </c>
      <c r="E15" s="17" t="s">
        <v>55</v>
      </c>
      <c r="H15" s="17">
        <f>CEILING(BoardQty*1,1)</f>
        <v>100</v>
      </c>
      <c r="I15" s="18">
        <f>IF(MIN(M15,S15,Y15,AE15,AK15,AQ15,AW15,BC15)&lt;&gt;0,MIN(M15,S15,Y15,AE15,AK15,AQ15,AW15,BC15),"")</f>
        <v/>
      </c>
      <c r="J15" s="19">
        <f>IF(AND(ISNUMBER(H15),ISNUMBER(I15)),H15*I15,"")</f>
        <v/>
      </c>
    </row>
    <row r="16" spans="1:58" ht="30" customHeight="1">
      <c r="A16" s="17" t="s">
        <v>56</v>
      </c>
      <c r="B16" s="17" t="s">
        <v>57</v>
      </c>
      <c r="C16" s="17" t="s">
        <v>58</v>
      </c>
      <c r="E16" s="17" t="s">
        <v>59</v>
      </c>
      <c r="H16" s="17">
        <f>CEILING(BoardQty*1,1)</f>
        <v>100</v>
      </c>
      <c r="I16" s="18">
        <f>IF(MIN(M16,S16,Y16,AE16,AK16,AQ16,AW16,BC16)&lt;&gt;0,MIN(M16,S16,Y16,AE16,AK16,AQ16,AW16,BC16),"")</f>
        <v/>
      </c>
      <c r="J16" s="19">
        <f>IF(AND(ISNUMBER(H16),ISNUMBER(I16)),H16*I16,"")</f>
        <v/>
      </c>
    </row>
    <row r="17" spans="1:58" ht="30" customHeight="1">
      <c r="A17" s="17" t="s">
        <v>60</v>
      </c>
      <c r="B17" s="17" t="s">
        <v>61</v>
      </c>
      <c r="C17" s="17" t="s">
        <v>62</v>
      </c>
      <c r="E17" s="17" t="s">
        <v>63</v>
      </c>
      <c r="H17" s="17">
        <f>CEILING(BoardQty*1,1)</f>
        <v>100</v>
      </c>
      <c r="I17" s="18">
        <f>IF(MIN(M17,S17,Y17,AE17,AK17,AQ17,AW17,BC17)&lt;&gt;0,MIN(M17,S17,Y17,AE17,AK17,AQ17,AW17,BC17),"")</f>
        <v/>
      </c>
      <c r="J17" s="19">
        <f>IF(AND(ISNUMBER(H17),ISNUMBER(I17)),H17*I17,"")</f>
        <v/>
      </c>
    </row>
    <row r="18" spans="1:58" ht="30" customHeight="1">
      <c r="A18" s="17" t="s">
        <v>64</v>
      </c>
      <c r="B18" s="17" t="s">
        <v>65</v>
      </c>
      <c r="C18" s="17" t="s">
        <v>66</v>
      </c>
      <c r="E18" s="17" t="s">
        <v>67</v>
      </c>
      <c r="H18" s="17">
        <f>CEILING(BoardQty*1,1)</f>
        <v>100</v>
      </c>
      <c r="I18" s="18">
        <f>IF(MIN(M18,S18,Y18,AE18,AK18,AQ18,AW18,BC18)&lt;&gt;0,MIN(M18,S18,Y18,AE18,AK18,AQ18,AW18,BC18),"")</f>
        <v/>
      </c>
      <c r="J18" s="19">
        <f>IF(AND(ISNUMBER(H18),ISNUMBER(I18)),H18*I18,"")</f>
        <v/>
      </c>
    </row>
    <row r="19" spans="1:58" ht="30" customHeight="1">
      <c r="A19" s="17" t="s">
        <v>68</v>
      </c>
      <c r="B19" s="17" t="s">
        <v>69</v>
      </c>
      <c r="C19" s="17" t="s">
        <v>70</v>
      </c>
      <c r="D19" s="17" t="s">
        <v>71</v>
      </c>
      <c r="E19" s="17" t="s">
        <v>72</v>
      </c>
      <c r="F19" s="17" t="s">
        <v>73</v>
      </c>
      <c r="G19" s="17" t="s">
        <v>69</v>
      </c>
      <c r="H19" s="17">
        <f>CEILING(BoardQty*1.0,1)</f>
        <v>100</v>
      </c>
      <c r="I19" s="18">
        <f>IF(MIN(M19,S19,Y19,AE19,AK19,AQ19,AW19,BC19)&lt;&gt;0,MIN(M19,S19,Y19,AE19,AK19,AQ19,AW19,BC19),"")</f>
        <v>0.2309</v>
      </c>
      <c r="J19" s="19">
        <f>IF(AND(ISNUMBER(H19),ISNUMBER(I19)),H19*I19,"")</f>
        <v>23.09</v>
      </c>
      <c r="AC19" s="17">
        <v>76290</v>
      </c>
      <c r="AD19" s="17"/>
      <c r="AE19" s="18">
        <f>IFERROR(IF(OR(AD19&gt;=AF19,H19&gt;=AF19),LOOKUP(IF(AD19="",H19,AD19),{0,1,10,30,100,500,1000},{0.0,0.3859,0.3282,0.2814,0.2309,0.22,0.2182}),"MOQ="&amp;AF19),"")</f>
        <v>0.2309</v>
      </c>
      <c r="AF19" s="17">
        <v>1</v>
      </c>
      <c r="AG19" s="19">
        <f>IFERROR(IF(AD19="",H19,AD19)*AE19,"")</f>
        <v>23.09</v>
      </c>
      <c r="AH19" s="17" t="s">
        <v>254</v>
      </c>
    </row>
    <row r="20" spans="1:58">
      <c r="A20" s="17" t="s">
        <v>74</v>
      </c>
      <c r="B20" s="17" t="s">
        <v>75</v>
      </c>
      <c r="C20" s="17" t="s">
        <v>76</v>
      </c>
      <c r="E20" s="17" t="s">
        <v>77</v>
      </c>
      <c r="F20" s="17" t="s">
        <v>78</v>
      </c>
      <c r="G20" s="17" t="s">
        <v>79</v>
      </c>
      <c r="H20" s="17">
        <f>CEILING(BoardQty*4.0,1)</f>
        <v>400</v>
      </c>
      <c r="I20" s="18">
        <f>IF(MIN(M20,S20,Y20,AE20,AK20,AQ20,AW20,BC20)&lt;&gt;0,MIN(M20,S20,Y20,AE20,AK20,AQ20,AW20,BC20),"")</f>
        <v>0.005</v>
      </c>
      <c r="J20" s="19">
        <f>IF(AND(ISNUMBER(H20),ISNUMBER(I20)),H20*I20,"")</f>
        <v>2.0</v>
      </c>
      <c r="K20" s="17">
        <v>63796</v>
      </c>
      <c r="L20" s="17"/>
      <c r="M20" s="18">
        <f>IFERROR(IF(OR(L20&gt;=N20,H20&gt;=N20),LOOKUP(IF(L20="",H20,L20),{0,1,10,25,100,250,500,1000,3000,6000,15000,30000},{0.0,0.0654,0.025,0.0247,0.0107,0.0106,0.0103,0.0062,0.0042,0.0041,0.0034,0.0033}),"MOQ="&amp;N20),"")</f>
        <v>0.0106</v>
      </c>
      <c r="N20" s="17">
        <v>1</v>
      </c>
      <c r="O20" s="19">
        <f>IFERROR(IF(L20="",H20,L20)*M20,"")</f>
        <v>4.24</v>
      </c>
      <c r="P20" s="17" t="s">
        <v>183</v>
      </c>
      <c r="Q20" s="17">
        <v>8878</v>
      </c>
      <c r="R20" s="17"/>
      <c r="S20" s="18">
        <f>IFERROR(IF(OR(R20&gt;=T20,H20&gt;=T20),LOOKUP(IF(R20="",H20,R20),{0,1,10,100,1000,2500,5000,15000},{0.0,0.1,0.034,0.014,0.00629,0.00546,0.00451,0.00392}),"MOQ="&amp;T20),"")</f>
        <v>0.014</v>
      </c>
      <c r="T20" s="17">
        <v>1</v>
      </c>
      <c r="U20" s="19">
        <f>IFERROR(IF(R20="",H20,R20)*S20,"")</f>
        <v>5.6</v>
      </c>
      <c r="V20" s="17" t="s">
        <v>202</v>
      </c>
      <c r="W20" s="20" t="s">
        <v>195</v>
      </c>
      <c r="X20" s="17"/>
      <c r="Y20" s="18">
        <f>IFERROR(IF(OR(X20&gt;=Z20,H20&gt;=Z20),USD_GBP*LOOKUP(IF(X20="",H20,X20),{0,1,30000},{0.0,0.0054,0.0054}),"MOQ="&amp;Z20),"")</f>
        <v/>
      </c>
      <c r="Z20" s="17">
        <v>30000</v>
      </c>
      <c r="AA20" s="19">
        <f>IFERROR(IF(X20="",H20,X20)*Y20,"")</f>
        <v/>
      </c>
      <c r="AB20" s="17" t="s">
        <v>231</v>
      </c>
      <c r="AI20" s="17">
        <v>3358</v>
      </c>
      <c r="AJ20" s="17"/>
      <c r="AK20" s="18">
        <f>IFERROR(IF(OR(AJ20&gt;=AL20,H20&gt;=AL20),LOOKUP(IF(AJ20="",H20,AJ20),{0,1,10,50,100,1000,10000},{0.0,0.1,0.032,0.032,0.013,0.006,0.004}),"MOQ="&amp;AL20),"")</f>
        <v>0.013</v>
      </c>
      <c r="AL20" s="17">
        <v>1</v>
      </c>
      <c r="AM20" s="19">
        <f>IFERROR(IF(AJ20="",H20,AJ20)*AK20,"")</f>
        <v>5.2</v>
      </c>
      <c r="AN20" s="17" t="s">
        <v>270</v>
      </c>
      <c r="AO20" s="20" t="s">
        <v>195</v>
      </c>
      <c r="AP20" s="17"/>
      <c r="AQ20" s="18">
        <f>IFERROR(IF(OR(AP20&gt;=AR20,H20&gt;=AR20),LOOKUP(IF(AP20="",H20,AP20),{0,1,15000,30000},{0.0,0.005,0.005,0.004}),"MOQ="&amp;AR20),"")</f>
        <v>0.005</v>
      </c>
      <c r="AR20" s="17">
        <v>1</v>
      </c>
      <c r="AS20" s="19">
        <f>IFERROR(IF(AP20="",H20,AP20)*AQ20,"")</f>
        <v>2.0</v>
      </c>
      <c r="AT20" s="17" t="s">
        <v>298</v>
      </c>
      <c r="AU20" s="17">
        <v>37000</v>
      </c>
      <c r="AV20" s="17"/>
      <c r="AW20" s="18">
        <f>IFERROR(IF(OR(AV20&gt;=AX20,H20&gt;=AX20),USD_GBP*LOOKUP(IF(AV20="",H20,AV20),{0,1,1000,5000,10000,15000},{0.0,0.005,0.005,0.005,0.005,0.005}),"MOQ="&amp;AX20),"")</f>
        <v/>
      </c>
      <c r="AX20" s="17">
        <v>1000</v>
      </c>
      <c r="AY20" s="19">
        <f>IFERROR(IF(AV20="",H20,AV20)*AW20,"")</f>
        <v/>
      </c>
      <c r="AZ20" s="17" t="s">
        <v>318</v>
      </c>
    </row>
    <row r="21" spans="1:58">
      <c r="A21" s="17" t="s">
        <v>80</v>
      </c>
      <c r="B21" s="17" t="s">
        <v>81</v>
      </c>
      <c r="C21" s="17" t="s">
        <v>82</v>
      </c>
      <c r="E21" s="17" t="s">
        <v>77</v>
      </c>
      <c r="F21" s="17" t="s">
        <v>78</v>
      </c>
      <c r="G21" s="17" t="s">
        <v>83</v>
      </c>
      <c r="H21" s="17">
        <f>CEILING(BoardQty*1.0,1)</f>
        <v>100</v>
      </c>
      <c r="I21" s="18">
        <f>IF(MIN(M21,S21,Y21,AE21,AK21,AQ21,AW21,BC21)&lt;&gt;0,MIN(M21,S21,Y21,AE21,AK21,AQ21,AW21,BC21),"")</f>
        <v>0.013</v>
      </c>
      <c r="J21" s="19">
        <f>IF(AND(ISNUMBER(H21),ISNUMBER(I21)),H21*I21,"")</f>
        <v>1.3</v>
      </c>
      <c r="Q21" s="17">
        <v>87350</v>
      </c>
      <c r="R21" s="17"/>
      <c r="S21" s="18">
        <f>IFERROR(IF(OR(R21&gt;=T21,H21&gt;=T21),LOOKUP(IF(R21="",H21,R21),{0,1,10,100,1000,2500,5000,15000},{0.0,0.1,0.034,0.014,0.00629,0.00546,0.00451,0.00392}),"MOQ="&amp;T21),"")</f>
        <v>0.014</v>
      </c>
      <c r="T21" s="17">
        <v>1</v>
      </c>
      <c r="U21" s="19">
        <f>IFERROR(IF(R21="",H21,R21)*S21,"")</f>
        <v>1.4</v>
      </c>
      <c r="V21" s="17" t="s">
        <v>203</v>
      </c>
      <c r="W21" s="20" t="s">
        <v>195</v>
      </c>
      <c r="X21" s="17"/>
      <c r="Y21" s="18">
        <f>IFERROR(IF(OR(X21&gt;=Z21,H21&gt;=Z21),USD_GBP*LOOKUP(IF(X21="",H21,X21),{0,1,30000},{0.0,0.0054,0.0054}),"MOQ="&amp;Z21),"")</f>
        <v/>
      </c>
      <c r="Z21" s="17">
        <v>30000</v>
      </c>
      <c r="AA21" s="19">
        <f>IFERROR(IF(X21="",H21,X21)*Y21,"")</f>
        <v/>
      </c>
      <c r="AB21" s="17" t="s">
        <v>232</v>
      </c>
      <c r="AI21" s="17">
        <v>12028</v>
      </c>
      <c r="AJ21" s="17"/>
      <c r="AK21" s="18">
        <f>IFERROR(IF(OR(AJ21&gt;=AL21,H21&gt;=AL21),LOOKUP(IF(AJ21="",H21,AJ21),{0,1,10,50,100,1000,10000},{0.0,0.1,0.032,0.032,0.013,0.006,0.004}),"MOQ="&amp;AL21),"")</f>
        <v>0.013</v>
      </c>
      <c r="AL21" s="17">
        <v>1</v>
      </c>
      <c r="AM21" s="19">
        <f>IFERROR(IF(AJ21="",H21,AJ21)*AK21,"")</f>
        <v>1.3</v>
      </c>
      <c r="AN21" s="17" t="s">
        <v>271</v>
      </c>
      <c r="AO21" s="20" t="s">
        <v>195</v>
      </c>
      <c r="AP21" s="17"/>
      <c r="AQ21" s="18">
        <f>IFERROR(IF(OR(AP21&gt;=AR21,H21&gt;=AR21),LOOKUP(IF(AP21="",H21,AP21),{0,1,15000,30000},{0.0,0.005,0.005,0.004}),"MOQ="&amp;AR21),"")</f>
        <v/>
      </c>
      <c r="AR21" s="17">
        <v>15000</v>
      </c>
      <c r="AS21" s="19">
        <f>IFERROR(IF(AP21="",H21,AP21)*AQ21,"")</f>
        <v/>
      </c>
      <c r="AT21" s="17" t="s">
        <v>299</v>
      </c>
      <c r="AU21" s="17">
        <v>28000</v>
      </c>
      <c r="AV21" s="17"/>
      <c r="AW21" s="18">
        <f>IFERROR(IF(OR(AV21&gt;=AX21,H21&gt;=AX21),USD_GBP*LOOKUP(IF(AV21="",H21,AV21),{0,1,1000,5000,10000,15000},{0.0,0.004,0.004,0.005,0.005,0.004}),"MOQ="&amp;AX21),"")</f>
        <v/>
      </c>
      <c r="AX21" s="17">
        <v>1000</v>
      </c>
      <c r="AY21" s="19">
        <f>IFERROR(IF(AV21="",H21,AV21)*AW21,"")</f>
        <v/>
      </c>
      <c r="AZ21" s="17" t="s">
        <v>319</v>
      </c>
    </row>
    <row r="22" spans="1:58">
      <c r="A22" s="17" t="s">
        <v>84</v>
      </c>
      <c r="B22" s="17" t="s">
        <v>85</v>
      </c>
      <c r="C22" s="17" t="s">
        <v>86</v>
      </c>
      <c r="E22" s="17" t="s">
        <v>77</v>
      </c>
      <c r="F22" s="17" t="s">
        <v>78</v>
      </c>
      <c r="G22" s="17" t="s">
        <v>87</v>
      </c>
      <c r="H22" s="17">
        <f>CEILING(BoardQty*1.0,1)</f>
        <v>100</v>
      </c>
      <c r="I22" s="18">
        <f>IF(MIN(M22,S22,Y22,AE22,AK22,AQ22,AW22,BC22)&lt;&gt;0,MIN(M22,S22,Y22,AE22,AK22,AQ22,AW22,BC22),"")</f>
        <v>0.0128</v>
      </c>
      <c r="J22" s="19">
        <f>IF(AND(ISNUMBER(H22),ISNUMBER(I22)),H22*I22,"")</f>
        <v>1.28</v>
      </c>
      <c r="K22" s="17">
        <v>5287</v>
      </c>
      <c r="L22" s="17"/>
      <c r="M22" s="18">
        <f>IFERROR(IF(OR(L22&gt;=N22,H22&gt;=N22),LOOKUP(IF(L22="",H22,L22),{0,1,10,25,100,250,500,1000,3000},{0.0,0.0805,0.0571,0.0471,0.0223,0.0221,0.0141,0.0107,0.01}),"MOQ="&amp;N22),"")</f>
        <v>0.0223</v>
      </c>
      <c r="N22" s="17">
        <v>1</v>
      </c>
      <c r="O22" s="19">
        <f>IFERROR(IF(L22="",H22,L22)*M22,"")</f>
        <v>2.23</v>
      </c>
      <c r="P22" s="17" t="s">
        <v>184</v>
      </c>
      <c r="Q22" s="17">
        <v>1304906</v>
      </c>
      <c r="R22" s="17"/>
      <c r="S22" s="18">
        <f>IFERROR(IF(OR(R22&gt;=T22,H22&gt;=T22),LOOKUP(IF(R22="",H22,R22),{0,1,10,100,1000,2500,5000,15000},{0.0,0.1,0.065,0.0266,0.01192,0.01035,0.00855,0.00743}),"MOQ="&amp;T22),"")</f>
        <v>0.0266</v>
      </c>
      <c r="T22" s="17">
        <v>1</v>
      </c>
      <c r="U22" s="19">
        <f>IFERROR(IF(R22="",H22,R22)*S22,"")</f>
        <v>2.66</v>
      </c>
      <c r="V22" s="17" t="s">
        <v>204</v>
      </c>
      <c r="W22" s="17">
        <v>4768</v>
      </c>
      <c r="X22" s="17"/>
      <c r="Y22" s="18">
        <f>IFERROR(IF(OR(X22&gt;=Z22,H22&gt;=Z22),USD_GBP*LOOKUP(IF(X22="",H22,X22),{0,1,10,100,500,2500,7500,15000,75000},{0.0,0.0533,0.0533,0.0215,0.0102,0.0068,0.0067,0.0066,0.0065}),"MOQ="&amp;Z22),"")</f>
        <v>0.029236701684175418</v>
      </c>
      <c r="Z22" s="17">
        <v>10</v>
      </c>
      <c r="AA22" s="19">
        <f>IFERROR(IF(X22="",H22,X22)*Y22,"")</f>
        <v>2.9237</v>
      </c>
      <c r="AB22" s="17" t="s">
        <v>233</v>
      </c>
      <c r="AC22" s="17">
        <v>8000</v>
      </c>
      <c r="AD22" s="17"/>
      <c r="AE22" s="18">
        <f>IFERROR(IF(OR(AD22&gt;=AF22,H22&gt;=AF22),LOOKUP(IF(AD22="",H22,AD22),{0,1,50,500,1500,5000,25000,50000},{0.0,0.0128,0.0128,0.0107,0.0092,0.008,0.0077,0.0076}),"MOQ="&amp;AF22),"")</f>
        <v>0.0128</v>
      </c>
      <c r="AF22" s="17">
        <v>50</v>
      </c>
      <c r="AG22" s="19">
        <f>IFERROR(IF(AD22="",H22,AD22)*AE22,"")</f>
        <v>1.28</v>
      </c>
      <c r="AH22" s="17" t="s">
        <v>255</v>
      </c>
      <c r="AI22" s="17">
        <v>931344</v>
      </c>
      <c r="AJ22" s="17"/>
      <c r="AK22" s="18">
        <f>IFERROR(IF(OR(AJ22&gt;=AL22,H22&gt;=AL22),LOOKUP(IF(AJ22="",H22,AJ22),{0,1,10,50,100,1000,10000},{0.0,0.11,0.06,0.06,0.025,0.011,0.007}),"MOQ="&amp;AL22),"")</f>
        <v>0.025</v>
      </c>
      <c r="AL22" s="17">
        <v>1</v>
      </c>
      <c r="AM22" s="19">
        <f>IFERROR(IF(AJ22="",H22,AJ22)*AK22,"")</f>
        <v>2.5</v>
      </c>
      <c r="AN22" s="17" t="s">
        <v>272</v>
      </c>
      <c r="AO22" s="17">
        <v>16230</v>
      </c>
      <c r="AP22" s="17"/>
      <c r="AQ22" s="18">
        <f>IFERROR(IF(OR(AP22&gt;=AR22,H22&gt;=AR22),LOOKUP(IF(AP22="",H22,AP22),{0,1,10,25,50,100,250,500,1000,2500,10000,15000,20000},{0.0,0.114,0.066,0.066,0.04,0.027,0.022,0.017,0.012,0.009,0.015,0.015,0.01}),"MOQ="&amp;AR22),"")</f>
        <v>0.027</v>
      </c>
      <c r="AR22" s="17">
        <v>1</v>
      </c>
      <c r="AS22" s="19">
        <f>IFERROR(IF(AP22="",H22,AP22)*AQ22,"")</f>
        <v>2.7</v>
      </c>
      <c r="AT22" s="17" t="s">
        <v>300</v>
      </c>
      <c r="AU22" s="17">
        <v>44000</v>
      </c>
      <c r="AV22" s="17"/>
      <c r="AW22" s="18">
        <f>IFERROR(IF(OR(AV22&gt;=AX22,H22&gt;=AX22),USD_GBP*LOOKUP(IF(AV22="",H22,AV22),{0,1,1000,5000,10000,15000},{0.0,0.007,0.007,0.006,0.006,0.006}),"MOQ="&amp;AX22),"")</f>
        <v/>
      </c>
      <c r="AX22" s="17">
        <v>1000</v>
      </c>
      <c r="AY22" s="19">
        <f>IFERROR(IF(AV22="",H22,AV22)*AW22,"")</f>
        <v/>
      </c>
      <c r="AZ22" s="17" t="s">
        <v>320</v>
      </c>
    </row>
    <row r="23" spans="1:58">
      <c r="A23" s="17" t="s">
        <v>88</v>
      </c>
      <c r="B23" s="17" t="s">
        <v>89</v>
      </c>
      <c r="C23" s="17" t="s">
        <v>90</v>
      </c>
      <c r="E23" s="17" t="s">
        <v>77</v>
      </c>
      <c r="F23" s="17" t="s">
        <v>78</v>
      </c>
      <c r="G23" s="17" t="s">
        <v>91</v>
      </c>
      <c r="H23" s="17">
        <f>CEILING(BoardQty*3.0,1)</f>
        <v>300</v>
      </c>
      <c r="I23" s="18">
        <f>IF(MIN(M23,S23,Y23,AE23,AK23,AQ23,AW23,BC23)&lt;&gt;0,MIN(M23,S23,Y23,AE23,AK23,AQ23,AW23,BC23),"")</f>
        <v>0.0106</v>
      </c>
      <c r="J23" s="19">
        <f>IF(AND(ISNUMBER(H23),ISNUMBER(I23)),H23*I23,"")</f>
        <v>3.18</v>
      </c>
      <c r="K23" s="17">
        <v>7500</v>
      </c>
      <c r="L23" s="17"/>
      <c r="M23" s="18">
        <f>IFERROR(IF(OR(L23&gt;=N23,H23&gt;=N23),LOOKUP(IF(L23="",H23,L23),{0,1,10,25,100,250,500,1000,3000,6000},{0.0,0.0606,0.0482,0.0479,0.0199,0.0176,0.0174,0.0104,0.0074,0.0063}),"MOQ="&amp;N23),"")</f>
        <v>0.0176</v>
      </c>
      <c r="N23" s="17">
        <v>1</v>
      </c>
      <c r="O23" s="19">
        <f>IFERROR(IF(L23="",H23,L23)*M23,"")</f>
        <v>5.28</v>
      </c>
      <c r="P23" s="17" t="s">
        <v>185</v>
      </c>
      <c r="Q23" s="17">
        <v>363425</v>
      </c>
      <c r="R23" s="17"/>
      <c r="S23" s="18">
        <f>IFERROR(IF(OR(R23&gt;=T23,H23&gt;=T23),LOOKUP(IF(R23="",H23,R23),{0,1,10,100,1000,2500,5000,15000},{0.0,0.1,0.065,0.0266,0.01192,0.01035,0.00855,0.00743}),"MOQ="&amp;T23),"")</f>
        <v>0.0266</v>
      </c>
      <c r="T23" s="17">
        <v>1</v>
      </c>
      <c r="U23" s="19">
        <f>IFERROR(IF(R23="",H23,R23)*S23,"")</f>
        <v>7.98</v>
      </c>
      <c r="V23" s="17" t="s">
        <v>205</v>
      </c>
      <c r="W23" s="20" t="s">
        <v>195</v>
      </c>
      <c r="X23" s="17"/>
      <c r="Y23" s="18">
        <f>IFERROR(IF(OR(X23&gt;=Z23,H23&gt;=Z23),USD_GBP*LOOKUP(IF(X23="",H23,X23),{0,1,10,100,150,500,2500,7500,15000,75000},{0.0,0.0257,0.0257,0.0141,0.0141,0.0087,0.0046,0.0041,0.0066,0.0055}),"MOQ="&amp;Z23),"")</f>
        <v>0.01917383691845923</v>
      </c>
      <c r="Z23" s="17">
        <v>10</v>
      </c>
      <c r="AA23" s="19">
        <f>IFERROR(IF(X23="",H23,X23)*Y23,"")</f>
        <v>5.7522</v>
      </c>
      <c r="AB23" s="17" t="s">
        <v>234</v>
      </c>
      <c r="AC23" s="17">
        <v>11250</v>
      </c>
      <c r="AD23" s="17"/>
      <c r="AE23" s="18">
        <f>IFERROR(IF(OR(AD23&gt;=AF23,H23&gt;=AF23),LOOKUP(IF(AD23="",H23,AD23),{0,1,50,500,1500,5000,25000,50000},{0.0,0.0106,0.0106,0.0089,0.0076,0.0066,0.0064,0.0064}),"MOQ="&amp;AF23),"")</f>
        <v>0.0106</v>
      </c>
      <c r="AF23" s="17">
        <v>50</v>
      </c>
      <c r="AG23" s="19">
        <f>IFERROR(IF(AD23="",H23,AD23)*AE23,"")</f>
        <v>3.18</v>
      </c>
      <c r="AH23" s="17" t="s">
        <v>256</v>
      </c>
      <c r="AI23" s="17">
        <v>822445</v>
      </c>
      <c r="AJ23" s="17"/>
      <c r="AK23" s="18">
        <f>IFERROR(IF(OR(AJ23&gt;=AL23,H23&gt;=AL23),LOOKUP(IF(AJ23="",H23,AJ23),{0,1,10,50,100,1000,10000},{0.0,0.11,0.06,0.06,0.025,0.011,0.007}),"MOQ="&amp;AL23),"")</f>
        <v>0.025</v>
      </c>
      <c r="AL23" s="17">
        <v>1</v>
      </c>
      <c r="AM23" s="19">
        <f>IFERROR(IF(AJ23="",H23,AJ23)*AK23,"")</f>
        <v>7.5</v>
      </c>
      <c r="AN23" s="17" t="s">
        <v>273</v>
      </c>
      <c r="AO23" s="20" t="s">
        <v>195</v>
      </c>
      <c r="AP23" s="17"/>
      <c r="AQ23" s="18">
        <f>IFERROR(IF(OR(AP23&gt;=AR23,H23&gt;=AR23),LOOKUP(IF(AP23="",H23,AP23),{0,1,10,25,50,100,15000},{0.0,0.009,0.062,0.05,0.038,0.026,0.009}),"MOQ="&amp;AR23),"")</f>
        <v>0.026</v>
      </c>
      <c r="AR23" s="17">
        <v>1</v>
      </c>
      <c r="AS23" s="19">
        <f>IFERROR(IF(AP23="",H23,AP23)*AQ23,"")</f>
        <v>7.8</v>
      </c>
      <c r="AT23" s="17" t="s">
        <v>301</v>
      </c>
    </row>
    <row r="24" spans="1:58">
      <c r="A24" s="17" t="s">
        <v>92</v>
      </c>
      <c r="B24" s="17" t="s">
        <v>93</v>
      </c>
      <c r="C24" s="17" t="s">
        <v>94</v>
      </c>
      <c r="E24" s="17" t="s">
        <v>77</v>
      </c>
      <c r="F24" s="17" t="s">
        <v>78</v>
      </c>
      <c r="G24" s="17" t="s">
        <v>95</v>
      </c>
      <c r="H24" s="17">
        <f>CEILING(BoardQty*4.0,1)</f>
        <v>400</v>
      </c>
      <c r="I24" s="18">
        <f>IF(MIN(M24,S24,Y24,AE24,AK24,AQ24,AW24,BC24)&lt;&gt;0,MIN(M24,S24,Y24,AE24,AK24,AQ24,AW24,BC24),"")</f>
        <v>0.0131</v>
      </c>
      <c r="J24" s="19">
        <f>IF(AND(ISNUMBER(H24),ISNUMBER(I24)),H24*I24,"")</f>
        <v>5.24</v>
      </c>
      <c r="K24" s="17">
        <v>100</v>
      </c>
      <c r="L24" s="17"/>
      <c r="M24" s="18">
        <f>IFERROR(IF(OR(L24&gt;=N24,H24&gt;=N24),LOOKUP(IF(L24="",H24,L24),{0,1,10,25,100,250,500,1000},{0.0,0.0823,0.0718,0.0537,0.0399,0.0203,0.0148,0.0111}),"MOQ="&amp;N24),"")</f>
        <v>0.0203</v>
      </c>
      <c r="N24" s="17">
        <v>1</v>
      </c>
      <c r="O24" s="19">
        <f>IFERROR(IF(L24="",H24,L24)*M24,"")</f>
        <v>8.12</v>
      </c>
      <c r="P24" s="17" t="s">
        <v>186</v>
      </c>
      <c r="Q24" s="20" t="s">
        <v>195</v>
      </c>
      <c r="R24" s="17"/>
      <c r="S24" s="18">
        <f>IFERROR(IF(OR(R24&gt;=T24,H24&gt;=T24),LOOKUP(IF(R24="",H24,R24),{0,1,10,100,1000,2500,5000,15000},{0.0,0.1,0.065,0.0266,0.01192,0.01035,0.00855,0.00743}),"MOQ="&amp;T24),"")</f>
        <v>0.0266</v>
      </c>
      <c r="T24" s="17">
        <v>1</v>
      </c>
      <c r="U24" s="19">
        <f>IFERROR(IF(R24="",H24,R24)*S24,"")</f>
        <v>10.64</v>
      </c>
      <c r="V24" s="17" t="s">
        <v>206</v>
      </c>
      <c r="W24" s="17">
        <v>465000</v>
      </c>
      <c r="X24" s="17"/>
      <c r="Y24" s="18">
        <f>IFERROR(IF(OR(X24&gt;=Z24,H24&gt;=Z24),USD_GBP*LOOKUP(IF(X24="",H24,X24),{0,1,10,100,500,2500,7500,15000,75000},{0.0,0.0533,0.0533,0.0215,0.0102,0.0068,0.0067,0.0066,0.0065}),"MOQ="&amp;Z24),"")</f>
        <v>0.029236701684175418</v>
      </c>
      <c r="Z24" s="17">
        <v>10</v>
      </c>
      <c r="AA24" s="19">
        <f>IFERROR(IF(X24="",H24,X24)*Y24,"")</f>
        <v>11.6947</v>
      </c>
      <c r="AB24" s="17" t="s">
        <v>235</v>
      </c>
      <c r="AC24" s="17">
        <v>550</v>
      </c>
      <c r="AD24" s="17"/>
      <c r="AE24" s="18">
        <f>IFERROR(IF(OR(AD24&gt;=AF24,H24&gt;=AF24),LOOKUP(IF(AD24="",H24,AD24),{0,1,50,500,1500,5000,25000,50000},{0.0,0.0131,0.0131,0.011,0.0094,0.0082,0.0079,0.0078}),"MOQ="&amp;AF24),"")</f>
        <v>0.0131</v>
      </c>
      <c r="AF24" s="17">
        <v>50</v>
      </c>
      <c r="AG24" s="19">
        <f>IFERROR(IF(AD24="",H24,AD24)*AE24,"")</f>
        <v>5.24</v>
      </c>
      <c r="AH24" s="17" t="s">
        <v>257</v>
      </c>
      <c r="AI24" s="17">
        <v>979075</v>
      </c>
      <c r="AJ24" s="17"/>
      <c r="AK24" s="18">
        <f>IFERROR(IF(OR(AJ24&gt;=AL24,H24&gt;=AL24),LOOKUP(IF(AJ24="",H24,AJ24),{0,1,10,50,100,1000,10000},{0.0,0.11,0.06,0.06,0.025,0.011,0.007}),"MOQ="&amp;AL24),"")</f>
        <v>0.025</v>
      </c>
      <c r="AL24" s="17">
        <v>1</v>
      </c>
      <c r="AM24" s="19">
        <f>IFERROR(IF(AJ24="",H24,AJ24)*AK24,"")</f>
        <v>10.0</v>
      </c>
      <c r="AN24" s="17" t="s">
        <v>274</v>
      </c>
      <c r="AO24" s="17">
        <v>465000</v>
      </c>
      <c r="AP24" s="17"/>
      <c r="AQ24" s="18">
        <f>IFERROR(IF(OR(AP24&gt;=AR24,H24&gt;=AR24),LOOKUP(IF(AP24="",H24,AP24),{0,1,10,25,50,100,250,500,1000,2500,5000,15000},{0.0,0.121,0.066,0.053,0.04,0.028,0.025,0.018,0.012,0.011,0.01,0.009}),"MOQ="&amp;AR24),"")</f>
        <v>0.025</v>
      </c>
      <c r="AR24" s="17">
        <v>1</v>
      </c>
      <c r="AS24" s="19">
        <f>IFERROR(IF(AP24="",H24,AP24)*AQ24,"")</f>
        <v>10.0</v>
      </c>
      <c r="AT24" s="17" t="s">
        <v>302</v>
      </c>
      <c r="AU24" s="17">
        <v>659000</v>
      </c>
      <c r="AV24" s="17"/>
      <c r="AW24" s="18">
        <f>IFERROR(IF(OR(AV24&gt;=AX24,H24&gt;=AX24),USD_GBP*LOOKUP(IF(AV24="",H24,AV24),{0,1,1000,15000},{0.0,0.007,0.007,0.006}),"MOQ="&amp;AX24),"")</f>
        <v/>
      </c>
      <c r="AX24" s="17">
        <v>1000</v>
      </c>
      <c r="AY24" s="19">
        <f>IFERROR(IF(AV24="",H24,AV24)*AW24,"")</f>
        <v/>
      </c>
      <c r="AZ24" s="17" t="s">
        <v>321</v>
      </c>
    </row>
    <row r="25" spans="1:58">
      <c r="A25" s="17" t="s">
        <v>96</v>
      </c>
      <c r="B25" s="17" t="s">
        <v>97</v>
      </c>
      <c r="C25" s="17" t="s">
        <v>98</v>
      </c>
      <c r="E25" s="17" t="s">
        <v>77</v>
      </c>
      <c r="F25" s="17" t="s">
        <v>78</v>
      </c>
      <c r="G25" s="17" t="s">
        <v>99</v>
      </c>
      <c r="H25" s="17">
        <f>CEILING(BoardQty*2.0,1)</f>
        <v>200</v>
      </c>
      <c r="I25" s="18">
        <f>IF(MIN(M25,S25,Y25,AE25,AK25,AQ25,AW25,BC25)&lt;&gt;0,MIN(M25,S25,Y25,AE25,AK25,AQ25,AW25,BC25),"")</f>
        <v>0.013</v>
      </c>
      <c r="J25" s="19">
        <f>IF(AND(ISNUMBER(H25),ISNUMBER(I25)),H25*I25,"")</f>
        <v>2.6</v>
      </c>
      <c r="Q25" s="17">
        <v>59985</v>
      </c>
      <c r="R25" s="17"/>
      <c r="S25" s="18">
        <f>IFERROR(IF(OR(R25&gt;=T25,H25&gt;=T25),LOOKUP(IF(R25="",H25,R25),{0,1,10,100,1000,2500,5000,15000},{0.0,0.1,0.034,0.014,0.00629,0.00546,0.00451,0.00392}),"MOQ="&amp;T25),"")</f>
        <v>0.014</v>
      </c>
      <c r="T25" s="17">
        <v>1</v>
      </c>
      <c r="U25" s="19">
        <f>IFERROR(IF(R25="",H25,R25)*S25,"")</f>
        <v>2.8</v>
      </c>
      <c r="V25" s="17" t="s">
        <v>207</v>
      </c>
      <c r="W25" s="20" t="s">
        <v>195</v>
      </c>
      <c r="X25" s="17"/>
      <c r="Y25" s="18">
        <f>IFERROR(IF(OR(X25&gt;=Z25,H25&gt;=Z25),USD_GBP*LOOKUP(IF(X25="",H25,X25),{0,1,30000},{0.0,0.0054,0.0054}),"MOQ="&amp;Z25),"")</f>
        <v/>
      </c>
      <c r="Z25" s="17">
        <v>30000</v>
      </c>
      <c r="AA25" s="19">
        <f>IFERROR(IF(X25="",H25,X25)*Y25,"")</f>
        <v/>
      </c>
      <c r="AB25" s="17" t="s">
        <v>236</v>
      </c>
      <c r="AI25" s="17">
        <v>72766</v>
      </c>
      <c r="AJ25" s="17"/>
      <c r="AK25" s="18">
        <f>IFERROR(IF(OR(AJ25&gt;=AL25,H25&gt;=AL25),LOOKUP(IF(AJ25="",H25,AJ25),{0,1,10,50,100,1000,10000},{0.0,0.1,0.032,0.032,0.013,0.006,0.004}),"MOQ="&amp;AL25),"")</f>
        <v>0.013</v>
      </c>
      <c r="AL25" s="17">
        <v>1</v>
      </c>
      <c r="AM25" s="19">
        <f>IFERROR(IF(AJ25="",H25,AJ25)*AK25,"")</f>
        <v>2.6</v>
      </c>
      <c r="AN25" s="17" t="s">
        <v>275</v>
      </c>
      <c r="AO25" s="20" t="s">
        <v>195</v>
      </c>
      <c r="AP25" s="17"/>
      <c r="AQ25" s="18">
        <f>IFERROR(IF(OR(AP25&gt;=AR25,H25&gt;=AR25),LOOKUP(IF(AP25="",H25,AP25),{0,1,15000,30000},{0.0,0.005,0.005,0.004}),"MOQ="&amp;AR25),"")</f>
        <v/>
      </c>
      <c r="AR25" s="17">
        <v>15000</v>
      </c>
      <c r="AS25" s="19">
        <f>IFERROR(IF(AP25="",H25,AP25)*AQ25,"")</f>
        <v/>
      </c>
      <c r="AT25" s="17" t="s">
        <v>303</v>
      </c>
    </row>
    <row r="26" spans="1:58">
      <c r="A26" s="17" t="s">
        <v>100</v>
      </c>
      <c r="B26" s="17" t="s">
        <v>101</v>
      </c>
      <c r="C26" s="17" t="s">
        <v>102</v>
      </c>
      <c r="E26" s="17" t="s">
        <v>77</v>
      </c>
      <c r="F26" s="17" t="s">
        <v>78</v>
      </c>
      <c r="G26" s="17" t="s">
        <v>103</v>
      </c>
      <c r="H26" s="17">
        <f>CEILING(BoardQty*1.0,1)</f>
        <v>100</v>
      </c>
      <c r="I26" s="18">
        <f>IF(MIN(M26,S26,Y26,AE26,AK26,AQ26,AW26,BC26)&lt;&gt;0,MIN(M26,S26,Y26,AE26,AK26,AQ26,AW26,BC26),"")</f>
        <v>0.0067</v>
      </c>
      <c r="J26" s="19">
        <f>IF(AND(ISNUMBER(H26),ISNUMBER(I26)),H26*I26,"")</f>
        <v>0.67</v>
      </c>
      <c r="K26" s="17">
        <v>97</v>
      </c>
      <c r="L26" s="17"/>
      <c r="M26" s="18">
        <f>IFERROR(IF(OR(L26&gt;=N26,H26&gt;=N26),LOOKUP(IF(L26="",H26,L26),{0,1,10,25},{0.0,0.0666,0.0266,0.0242}),"MOQ="&amp;N26),"")</f>
        <v>0.0242</v>
      </c>
      <c r="N26" s="17">
        <v>1</v>
      </c>
      <c r="O26" s="19">
        <f>IFERROR(IF(L26="",H26,L26)*M26,"")</f>
        <v>2.42</v>
      </c>
      <c r="P26" s="17" t="s">
        <v>187</v>
      </c>
      <c r="Q26" s="17">
        <v>554303</v>
      </c>
      <c r="R26" s="17"/>
      <c r="S26" s="18">
        <f>IFERROR(IF(OR(R26&gt;=T26,H26&gt;=T26),LOOKUP(IF(R26="",H26,R26),{0,1,10,100,1000,2500,5000,15000},{0.0,0.1,0.034,0.014,0.00629,0.00546,0.00451,0.00392}),"MOQ="&amp;T26),"")</f>
        <v>0.014</v>
      </c>
      <c r="T26" s="17">
        <v>1</v>
      </c>
      <c r="U26" s="19">
        <f>IFERROR(IF(R26="",H26,R26)*S26,"")</f>
        <v>1.4</v>
      </c>
      <c r="V26" s="17" t="s">
        <v>208</v>
      </c>
      <c r="W26" s="20" t="s">
        <v>195</v>
      </c>
      <c r="X26" s="17"/>
      <c r="Y26" s="18">
        <f>IFERROR(IF(OR(X26&gt;=Z26,H26&gt;=Z26),USD_GBP*LOOKUP(IF(X26="",H26,X26),{0,1,30000},{0.0,0.0054,0.0054}),"MOQ="&amp;Z26),"")</f>
        <v/>
      </c>
      <c r="Z26" s="17">
        <v>30000</v>
      </c>
      <c r="AA26" s="19">
        <f>IFERROR(IF(X26="",H26,X26)*Y26,"")</f>
        <v/>
      </c>
      <c r="AB26" s="17" t="s">
        <v>237</v>
      </c>
      <c r="AC26" s="17">
        <v>14700</v>
      </c>
      <c r="AD26" s="17"/>
      <c r="AE26" s="18">
        <f>IFERROR(IF(OR(AD26&gt;=AF26,H26&gt;=AF26),LOOKUP(IF(AD26="",H26,AD26),{0,1,50,500,1500,5000,25000,50000},{0.0,0.0067,0.0067,0.0057,0.0048,0.0042,0.0041,0.004}),"MOQ="&amp;AF26),"")</f>
        <v>0.0067</v>
      </c>
      <c r="AF26" s="17">
        <v>50</v>
      </c>
      <c r="AG26" s="19">
        <f>IFERROR(IF(AD26="",H26,AD26)*AE26,"")</f>
        <v>0.67</v>
      </c>
      <c r="AH26" s="17" t="s">
        <v>258</v>
      </c>
      <c r="AI26" s="17">
        <v>112798</v>
      </c>
      <c r="AJ26" s="17"/>
      <c r="AK26" s="18">
        <f>IFERROR(IF(OR(AJ26&gt;=AL26,H26&gt;=AL26),LOOKUP(IF(AJ26="",H26,AJ26),{0,1,10,50,100,1000,10000},{0.0,0.1,0.032,0.032,0.013,0.006,0.004}),"MOQ="&amp;AL26),"")</f>
        <v>0.013</v>
      </c>
      <c r="AL26" s="17">
        <v>1</v>
      </c>
      <c r="AM26" s="19">
        <f>IFERROR(IF(AJ26="",H26,AJ26)*AK26,"")</f>
        <v>1.3</v>
      </c>
      <c r="AN26" s="17" t="s">
        <v>276</v>
      </c>
      <c r="AO26" s="20" t="s">
        <v>195</v>
      </c>
      <c r="AP26" s="17"/>
      <c r="AQ26" s="18">
        <f>IFERROR(IF(OR(AP26&gt;=AR26,H26&gt;=AR26),LOOKUP(IF(AP26="",H26,AP26),{0,1,5000,10000,15000},{0.0,0.008,0.007,0.006,0.006}),"MOQ="&amp;AR26),"")</f>
        <v>0.008</v>
      </c>
      <c r="AR26" s="17">
        <v>1</v>
      </c>
      <c r="AS26" s="19">
        <f>IFERROR(IF(AP26="",H26,AP26)*AQ26,"")</f>
        <v>0.8</v>
      </c>
      <c r="AT26" s="17" t="s">
        <v>304</v>
      </c>
      <c r="AU26" s="17">
        <v>37000</v>
      </c>
      <c r="AV26" s="17"/>
      <c r="AW26" s="18">
        <f>IFERROR(IF(OR(AV26&gt;=AX26,H26&gt;=AX26),USD_GBP*LOOKUP(IF(AV26="",H26,AV26),{0,1,1000,5000,10000,15000},{0.0,0.004,0.004,0.004,0.004,0.004}),"MOQ="&amp;AX26),"")</f>
        <v/>
      </c>
      <c r="AX26" s="17">
        <v>1000</v>
      </c>
      <c r="AY26" s="19">
        <f>IFERROR(IF(AV26="",H26,AV26)*AW26,"")</f>
        <v/>
      </c>
      <c r="AZ26" s="17" t="s">
        <v>322</v>
      </c>
    </row>
    <row r="27" spans="1:58">
      <c r="A27" s="17" t="s">
        <v>104</v>
      </c>
      <c r="B27" s="17" t="s">
        <v>105</v>
      </c>
      <c r="C27" s="17" t="s">
        <v>106</v>
      </c>
      <c r="E27" s="17" t="s">
        <v>77</v>
      </c>
      <c r="F27" s="17" t="s">
        <v>78</v>
      </c>
      <c r="G27" s="17" t="s">
        <v>107</v>
      </c>
      <c r="H27" s="17">
        <f>CEILING(BoardQty*2.0,1)</f>
        <v>200</v>
      </c>
      <c r="I27" s="18">
        <f>IF(MIN(M27,S27,Y27,AE27,AK27,AQ27,AW27,BC27)&lt;&gt;0,MIN(M27,S27,Y27,AE27,AK27,AQ27,AW27,BC27),"")</f>
        <v>0.01</v>
      </c>
      <c r="J27" s="19">
        <f>IF(AND(ISNUMBER(H27),ISNUMBER(I27)),H27*I27,"")</f>
        <v>2.0</v>
      </c>
      <c r="K27" s="17">
        <v>1755000</v>
      </c>
      <c r="L27" s="17"/>
      <c r="M27" s="18">
        <f>IFERROR(IF(OR(L27&gt;=N27,H27&gt;=N27),LOOKUP(IF(L27="",H27,L27),{0,1,15000},{0.0,0.0036,0.0036}),"MOQ="&amp;N27),"")</f>
        <v/>
      </c>
      <c r="N27" s="17">
        <v>15000</v>
      </c>
      <c r="O27" s="19">
        <f>IFERROR(IF(L27="",H27,L27)*M27,"")</f>
        <v/>
      </c>
      <c r="P27" s="17" t="s">
        <v>188</v>
      </c>
      <c r="Q27" s="17">
        <v>7722194</v>
      </c>
      <c r="R27" s="17"/>
      <c r="S27" s="18">
        <f>IFERROR(IF(OR(R27&gt;=T27,H27&gt;=T27),LOOKUP(IF(R27="",H27,R27),{0,1,10,25,50,100,250,500,1000,5000,15000,30000,75000,105000},{0.0,0.1,0.03,0.022,0.0168,0.0123,0.0094,0.00752,0.00554,0.00397,0.00345,0.00303,0.00278,0.00272}),"MOQ="&amp;T27),"")</f>
        <v>0.0123</v>
      </c>
      <c r="T27" s="17">
        <v>1</v>
      </c>
      <c r="U27" s="19">
        <f>IFERROR(IF(R27="",H27,R27)*S27,"")</f>
        <v>2.46</v>
      </c>
      <c r="V27" s="17" t="s">
        <v>209</v>
      </c>
      <c r="W27" s="17">
        <v>120000</v>
      </c>
      <c r="X27" s="17"/>
      <c r="Y27" s="18">
        <f>IFERROR(IF(OR(X27&gt;=Z27,H27&gt;=Z27),USD_GBP*LOOKUP(IF(X27="",H27,X27),{0,1,10,100,500,2500,7500,15000,75000},{0.0,0.04,0.04,0.024,0.018,0.012,0.009,0.007,0.0043}),"MOQ="&amp;Z27),"")</f>
        <v>0.03263631815907954</v>
      </c>
      <c r="Z27" s="17">
        <v>10</v>
      </c>
      <c r="AA27" s="19">
        <f>IFERROR(IF(X27="",H27,X27)*Y27,"")</f>
        <v>6.5273</v>
      </c>
      <c r="AB27" s="17" t="s">
        <v>238</v>
      </c>
      <c r="AI27" s="17">
        <v>5281227</v>
      </c>
      <c r="AJ27" s="17"/>
      <c r="AK27" s="18">
        <f>IFERROR(IF(OR(AJ27&gt;=AL27,H27&gt;=AL27),LOOKUP(IF(AJ27="",H27,AJ27),{0,1,10,50,100,1000,10000},{0.0,0.1,0.032,0.032,0.013,0.006,0.004}),"MOQ="&amp;AL27),"")</f>
        <v>0.013</v>
      </c>
      <c r="AL27" s="17">
        <v>1</v>
      </c>
      <c r="AM27" s="19">
        <f>IFERROR(IF(AJ27="",H27,AJ27)*AK27,"")</f>
        <v>2.6</v>
      </c>
      <c r="AN27" s="17" t="s">
        <v>277</v>
      </c>
      <c r="AO27" s="17">
        <v>90000</v>
      </c>
      <c r="AP27" s="17"/>
      <c r="AQ27" s="18">
        <f>IFERROR(IF(OR(AP27&gt;=AR27,H27&gt;=AR27),LOOKUP(IF(AP27="",H27,AP27),{0,1,25,100,250,500,1000,2500,5000,15000},{0.0,0.006,0.023,0.01,0.009,0.008,0.007,0.005,0.004,0.006}),"MOQ="&amp;AR27),"")</f>
        <v>0.01</v>
      </c>
      <c r="AR27" s="17">
        <v>1</v>
      </c>
      <c r="AS27" s="19">
        <f>IFERROR(IF(AP27="",H27,AP27)*AQ27,"")</f>
        <v>2.0</v>
      </c>
      <c r="AT27" s="17" t="s">
        <v>305</v>
      </c>
      <c r="AU27" s="17">
        <v>577637</v>
      </c>
      <c r="AV27" s="17"/>
      <c r="AW27" s="18">
        <f>IFERROR(IF(OR(AV27&gt;=AX27,H27&gt;=AX27),USD_GBP*LOOKUP(IF(AV27="",H27,AV27),{0,1,1000,5000,15000},{0.0,0.011,0.011,0.01,0.005}),"MOQ="&amp;AX27),"")</f>
        <v/>
      </c>
      <c r="AX27" s="17">
        <v>1000</v>
      </c>
      <c r="AY27" s="19">
        <f>IFERROR(IF(AV27="",H27,AV27)*AW27,"")</f>
        <v/>
      </c>
      <c r="AZ27" s="17" t="s">
        <v>323</v>
      </c>
    </row>
    <row r="28" spans="1:58">
      <c r="A28" s="17" t="s">
        <v>108</v>
      </c>
      <c r="B28" s="17" t="s">
        <v>109</v>
      </c>
      <c r="C28" s="17" t="s">
        <v>110</v>
      </c>
      <c r="E28" s="17" t="s">
        <v>77</v>
      </c>
      <c r="F28" s="17" t="s">
        <v>78</v>
      </c>
      <c r="G28" s="17" t="s">
        <v>111</v>
      </c>
      <c r="H28" s="17">
        <f>CEILING(BoardQty*1.0,1)</f>
        <v>100</v>
      </c>
      <c r="I28" s="18">
        <f>IF(MIN(M28,S28,Y28,AE28,AK28,AQ28,AW28,BC28)&lt;&gt;0,MIN(M28,S28,Y28,AE28,AK28,AQ28,AW28,BC28),"")</f>
        <v>0.0124</v>
      </c>
      <c r="J28" s="19">
        <f>IF(AND(ISNUMBER(H28),ISNUMBER(I28)),H28*I28,"")</f>
        <v>1.24</v>
      </c>
      <c r="K28" s="17">
        <v>60000</v>
      </c>
      <c r="L28" s="17"/>
      <c r="M28" s="18">
        <f>IFERROR(IF(OR(L28&gt;=N28,H28&gt;=N28),LOOKUP(IF(L28="",H28,L28),{0,1,10,25},{0.0,0.0813,0.0757,0.0478}),"MOQ="&amp;N28),"")</f>
        <v>0.0478</v>
      </c>
      <c r="N28" s="17">
        <v>1</v>
      </c>
      <c r="O28" s="19">
        <f>IFERROR(IF(L28="",H28,L28)*M28,"")</f>
        <v>4.78</v>
      </c>
      <c r="P28" s="17" t="s">
        <v>189</v>
      </c>
      <c r="Q28" s="17">
        <v>637743</v>
      </c>
      <c r="R28" s="17"/>
      <c r="S28" s="18">
        <f>IFERROR(IF(OR(R28&gt;=T28,H28&gt;=T28),LOOKUP(IF(R28="",H28,R28),{0,1,10,100,1000,2500,5000,15000},{0.0,0.1,0.065,0.0266,0.01192,0.01035,0.00855,0.00743}),"MOQ="&amp;T28),"")</f>
        <v>0.0266</v>
      </c>
      <c r="T28" s="17">
        <v>1</v>
      </c>
      <c r="U28" s="19">
        <f>IFERROR(IF(R28="",H28,R28)*S28,"")</f>
        <v>2.66</v>
      </c>
      <c r="V28" s="17" t="s">
        <v>210</v>
      </c>
      <c r="W28" s="17">
        <v>9001</v>
      </c>
      <c r="X28" s="17"/>
      <c r="Y28" s="18">
        <f>IFERROR(IF(OR(X28&gt;=Z28,H28&gt;=Z28),USD_GBP*LOOKUP(IF(X28="",H28,X28),{0,1,10,100,500,2500,7500,15000,75000},{0.0,0.0619,0.0619,0.025,0.0118,0.0079,0.0067,0.0066,0.0055}),"MOQ="&amp;Z28),"")</f>
        <v>0.033996164749041186</v>
      </c>
      <c r="Z28" s="17">
        <v>10</v>
      </c>
      <c r="AA28" s="19">
        <f>IFERROR(IF(X28="",H28,X28)*Y28,"")</f>
        <v>3.3996</v>
      </c>
      <c r="AB28" s="17" t="s">
        <v>239</v>
      </c>
      <c r="AC28" s="17">
        <v>29950</v>
      </c>
      <c r="AD28" s="17"/>
      <c r="AE28" s="18">
        <f>IFERROR(IF(OR(AD28&gt;=AF28,H28&gt;=AF28),LOOKUP(IF(AD28="",H28,AD28),{0,1,50,500,1500,5000,25000,50000},{0.0,0.0124,0.0124,0.0103,0.0089,0.0076,0.0074,0.0073}),"MOQ="&amp;AF28),"")</f>
        <v>0.0124</v>
      </c>
      <c r="AF28" s="17">
        <v>50</v>
      </c>
      <c r="AG28" s="19">
        <f>IFERROR(IF(AD28="",H28,AD28)*AE28,"")</f>
        <v>1.24</v>
      </c>
      <c r="AH28" s="17" t="s">
        <v>259</v>
      </c>
      <c r="AI28" s="17">
        <v>81645</v>
      </c>
      <c r="AJ28" s="17"/>
      <c r="AK28" s="18">
        <f>IFERROR(IF(OR(AJ28&gt;=AL28,H28&gt;=AL28),LOOKUP(IF(AJ28="",H28,AJ28),{0,1,10,50,100,1000,10000},{0.0,0.11,0.06,0.06,0.025,0.011,0.007}),"MOQ="&amp;AL28),"")</f>
        <v>0.025</v>
      </c>
      <c r="AL28" s="17">
        <v>1</v>
      </c>
      <c r="AM28" s="19">
        <f>IFERROR(IF(AJ28="",H28,AJ28)*AK28,"")</f>
        <v>2.5</v>
      </c>
      <c r="AN28" s="17" t="s">
        <v>278</v>
      </c>
      <c r="AO28" s="17">
        <v>6905</v>
      </c>
      <c r="AP28" s="17"/>
      <c r="AQ28" s="18">
        <f>IFERROR(IF(OR(AP28&gt;=AR28,H28&gt;=AR28),LOOKUP(IF(AP28="",H28,AP28),{0,1,10,25,50,100,250,500,1000,2500,5000,10000,15000},{0.0,0.022,0.066,0.078,0.04,0.029,0.025,0.019,0.016,0.011,0.021,0.016,0.016}),"MOQ="&amp;AR28),"")</f>
        <v>0.029</v>
      </c>
      <c r="AR28" s="17">
        <v>1</v>
      </c>
      <c r="AS28" s="19">
        <f>IFERROR(IF(AP28="",H28,AP28)*AQ28,"")</f>
        <v>2.9</v>
      </c>
      <c r="AT28" s="17" t="s">
        <v>306</v>
      </c>
      <c r="AU28" s="17">
        <v>5000</v>
      </c>
      <c r="AV28" s="17"/>
      <c r="AW28" s="18">
        <f>IFERROR(IF(OR(AV28&gt;=AX28,H28&gt;=AX28),USD_GBP*LOOKUP(IF(AV28="",H28,AV28),{0,1,1000,5000,10000,15000},{0.0,0.007,0.007,0.006,0.006,0.005}),"MOQ="&amp;AX28),"")</f>
        <v/>
      </c>
      <c r="AX28" s="17">
        <v>1000</v>
      </c>
      <c r="AY28" s="19">
        <f>IFERROR(IF(AV28="",H28,AV28)*AW28,"")</f>
        <v/>
      </c>
      <c r="AZ28" s="17" t="s">
        <v>324</v>
      </c>
    </row>
    <row r="29" spans="1:58">
      <c r="A29" s="17" t="s">
        <v>112</v>
      </c>
      <c r="B29" s="17" t="s">
        <v>113</v>
      </c>
      <c r="C29" s="17" t="s">
        <v>114</v>
      </c>
      <c r="E29" s="17" t="s">
        <v>115</v>
      </c>
      <c r="F29" s="17" t="s">
        <v>116</v>
      </c>
      <c r="G29" s="17" t="s">
        <v>113</v>
      </c>
      <c r="H29" s="17">
        <f>CEILING(BoardQty*1.0,1)</f>
        <v>100</v>
      </c>
      <c r="I29" s="18">
        <f>IF(MIN(M29,S29,Y29,AE29,AK29,AQ29,AW29,BC29)&lt;&gt;0,MIN(M29,S29,Y29,AE29,AK29,AQ29,AW29,BC29),"")</f>
        <v>0.0433</v>
      </c>
      <c r="J29" s="19">
        <f>IF(AND(ISNUMBER(H29),ISNUMBER(I29)),H29*I29,"")</f>
        <v>4.33</v>
      </c>
      <c r="Q29" s="17">
        <v>980</v>
      </c>
      <c r="R29" s="17"/>
      <c r="S29" s="18">
        <f>IFERROR(IF(OR(R29&gt;=T29,H29&gt;=T29),LOOKUP(IF(R29="",H29,R29),{0,1,10,25,100,250,500,1000,2500,8500,17000},{0.0,0.23,0.22,0.2088,0.1892,0.17244,0.1603,0.13675,0.13295,0.12535,0.11699}),"MOQ="&amp;T29),"")</f>
        <v>0.1892</v>
      </c>
      <c r="T29" s="17">
        <v>1</v>
      </c>
      <c r="U29" s="19">
        <f>IFERROR(IF(R29="",H29,R29)*S29,"")</f>
        <v>18.92</v>
      </c>
      <c r="V29" s="17" t="s">
        <v>211</v>
      </c>
      <c r="W29" s="17">
        <v>3354</v>
      </c>
      <c r="X29" s="17"/>
      <c r="Y29" s="18">
        <f>IFERROR(IF(OR(X29&gt;=Z29,H29&gt;=Z29),USD_GBP*LOOKUP(IF(X29="",H29,X29),{0,1,10,50,100,500},{0.0,0.165,0.165,0.156,0.142,0.12}),"MOQ="&amp;Z29),"")</f>
        <v>0.1930982157745539</v>
      </c>
      <c r="Z29" s="17">
        <v>10</v>
      </c>
      <c r="AA29" s="19">
        <f>IFERROR(IF(X29="",H29,X29)*Y29,"")</f>
        <v>19.3098</v>
      </c>
      <c r="AB29" s="17" t="s">
        <v>240</v>
      </c>
      <c r="AC29" s="17">
        <v>4835</v>
      </c>
      <c r="AD29" s="17"/>
      <c r="AE29" s="18">
        <f>IFERROR(IF(OR(AD29&gt;=AF29,H29&gt;=AF29),LOOKUP(IF(AD29="",H29,AD29),{0,1,10,30,100,500,1000},{0.0,0.0787,0.0634,0.0524,0.0433,0.0417,0.041}),"MOQ="&amp;AF29),"")</f>
        <v>0.0433</v>
      </c>
      <c r="AF29" s="17">
        <v>1</v>
      </c>
      <c r="AG29" s="19">
        <f>IFERROR(IF(AD29="",H29,AD29)*AE29,"")</f>
        <v>4.33</v>
      </c>
      <c r="AH29" s="17" t="s">
        <v>260</v>
      </c>
      <c r="AI29" s="17">
        <v>9082</v>
      </c>
      <c r="AJ29" s="17"/>
      <c r="AK29" s="18">
        <f>IFERROR(IF(OR(AJ29&gt;=AL29,H29&gt;=AL29),LOOKUP(IF(AJ29="",H29,AJ29),{0,1,10,50,100,1000,10000},{0.0,0.23,0.218,0.201,0.189,0.154,0.154}),"MOQ="&amp;AL29),"")</f>
        <v>0.189</v>
      </c>
      <c r="AL29" s="17">
        <v>1</v>
      </c>
      <c r="AM29" s="19">
        <f>IFERROR(IF(AJ29="",H29,AJ29)*AK29,"")</f>
        <v>18.9</v>
      </c>
      <c r="AN29" s="17" t="s">
        <v>279</v>
      </c>
      <c r="AO29" s="17">
        <v>6738</v>
      </c>
      <c r="AP29" s="17"/>
      <c r="AQ29" s="18">
        <f>IFERROR(IF(OR(AP29&gt;=AR29,H29&gt;=AR29),LOOKUP(IF(AP29="",H29,AP29),{0,1,8500,100000},{0.0,0.087,0.178,0.15}),"MOQ="&amp;AR29),"")</f>
        <v>0.087</v>
      </c>
      <c r="AR29" s="17">
        <v>1</v>
      </c>
      <c r="AS29" s="19">
        <f>IFERROR(IF(AP29="",H29,AP29)*AQ29,"")</f>
        <v>8.7</v>
      </c>
      <c r="AT29" s="17" t="s">
        <v>307</v>
      </c>
    </row>
    <row r="30" spans="1:58">
      <c r="A30" s="17" t="s">
        <v>117</v>
      </c>
      <c r="B30" s="17" t="s">
        <v>118</v>
      </c>
      <c r="E30" s="17" t="s">
        <v>119</v>
      </c>
      <c r="H30" s="17">
        <f>CEILING(BoardQty*3,1)</f>
        <v>300</v>
      </c>
      <c r="I30" s="18">
        <f>IF(MIN(M30,S30,Y30,AE30,AK30,AQ30,AW30,BC30)&lt;&gt;0,MIN(M30,S30,Y30,AE30,AK30,AQ30,AW30,BC30),"")</f>
        <v/>
      </c>
      <c r="J30" s="19">
        <f>IF(AND(ISNUMBER(H30),ISNUMBER(I30)),H30*I30,"")</f>
        <v/>
      </c>
    </row>
    <row r="31" spans="1:58">
      <c r="A31" s="17" t="s">
        <v>120</v>
      </c>
      <c r="B31" s="17" t="s">
        <v>121</v>
      </c>
      <c r="C31" s="17" t="s">
        <v>122</v>
      </c>
      <c r="E31" s="17" t="s">
        <v>123</v>
      </c>
      <c r="F31" s="17" t="s">
        <v>124</v>
      </c>
      <c r="G31" s="17" t="s">
        <v>121</v>
      </c>
      <c r="H31" s="17">
        <f>CEILING(BoardQty*2.0,1)</f>
        <v>200</v>
      </c>
      <c r="I31" s="18">
        <f>IF(MIN(M31,S31,Y31,AE31,AK31,AQ31,AW31,BC31)&lt;&gt;0,MIN(M31,S31,Y31,AE31,AK31,AQ31,AW31,BC31),"")</f>
        <v>0.06255294313823578</v>
      </c>
      <c r="J31" s="19">
        <f>IF(AND(ISNUMBER(H31),ISNUMBER(I31)),H31*I31,"")</f>
        <v>12.5106</v>
      </c>
      <c r="Q31" s="17">
        <v>301</v>
      </c>
      <c r="R31" s="17"/>
      <c r="S31" s="18">
        <f>IFERROR(IF(OR(R31&gt;=T31,H31&gt;=T31),LOOKUP(IF(R31="",H31,R31),{0,1,10,25,100,250,500,1000,3000,6000,15000},{0.0,0.39,0.297,0.268,0.1853,0.15604,0.12678,0.09752,0.08777,0.08289,0.0805}),"MOQ="&amp;T31),"")</f>
        <v>0.1853</v>
      </c>
      <c r="T31" s="17">
        <v>1</v>
      </c>
      <c r="U31" s="19">
        <f>IFERROR(IF(R31="",H31,R31)*S31,"")</f>
        <v>37.06</v>
      </c>
      <c r="V31" s="17" t="s">
        <v>212</v>
      </c>
      <c r="W31" s="17">
        <v>1312</v>
      </c>
      <c r="X31" s="17"/>
      <c r="Y31" s="18">
        <f>IFERROR(IF(OR(X31&gt;=Z31,H31&gt;=Z31),USD_GBP*LOOKUP(IF(X31="",H31,X31),{0,1,5,10,100,500},{0.0,0.539,0.539,0.404,0.203,0.117}),"MOQ="&amp;Z31),"")</f>
        <v>0.27604885776221444</v>
      </c>
      <c r="Z31" s="17">
        <v>5</v>
      </c>
      <c r="AA31" s="19">
        <f>IFERROR(IF(X31="",H31,X31)*Y31,"")</f>
        <v>55.2098</v>
      </c>
      <c r="AB31" s="17" t="s">
        <v>241</v>
      </c>
      <c r="AI31" s="17">
        <v>12798</v>
      </c>
      <c r="AJ31" s="17"/>
      <c r="AK31" s="18">
        <f>IFERROR(IF(OR(AJ31&gt;=AL31,H31&gt;=AL31),LOOKUP(IF(AJ31="",H31,AJ31),{0,1,10,50,100,1000,10000},{0.0,0.52,0.39,0.39,0.195,0.113,0.078}),"MOQ="&amp;AL31),"")</f>
        <v>0.195</v>
      </c>
      <c r="AL31" s="17">
        <v>1</v>
      </c>
      <c r="AM31" s="19">
        <f>IFERROR(IF(AJ31="",H31,AJ31)*AK31,"")</f>
        <v>39.0</v>
      </c>
      <c r="AN31" s="17" t="s">
        <v>280</v>
      </c>
      <c r="AO31" s="17">
        <v>1312</v>
      </c>
      <c r="AP31" s="17"/>
      <c r="AQ31" s="18">
        <f>IFERROR(IF(OR(AP31&gt;=AR31,H31&gt;=AR31),LOOKUP(IF(AP31="",H31,AP31),{0,1,5,10,100,6000,18000,48000,90000},{0.0,0.536,0.536,0.409,0.255,0.096,0.086,0.079,0.069}),"MOQ="&amp;AR31),"")</f>
        <v>0.255</v>
      </c>
      <c r="AR31" s="17">
        <v>5</v>
      </c>
      <c r="AS31" s="19">
        <f>IFERROR(IF(AP31="",H31,AP31)*AQ31,"")</f>
        <v>51.0</v>
      </c>
      <c r="AT31" s="17" t="s">
        <v>308</v>
      </c>
      <c r="AU31" s="17">
        <v>2970</v>
      </c>
      <c r="AV31" s="17"/>
      <c r="AW31" s="18">
        <f>IFERROR(IF(OR(AV31&gt;=AX31,H31&gt;=AX31),USD_GBP*LOOKUP(IF(AV31="",H31,AV31),{0,1,30,120,1020,3000,9000,24000,45000,99000},{0.0,0.047,0.047,0.046,0.045,0.044,0.043,0.045,0.044,0.043}),"MOQ="&amp;AX31),"")</f>
        <v>0.06255294313823578</v>
      </c>
      <c r="AX31" s="17">
        <v>30</v>
      </c>
      <c r="AY31" s="19">
        <f>IFERROR(IF(AV31="",H31,AV31)*AW31,"")</f>
        <v>12.5106</v>
      </c>
      <c r="AZ31" s="17" t="s">
        <v>325</v>
      </c>
      <c r="BA31" s="20" t="s">
        <v>195</v>
      </c>
      <c r="BB31" s="17"/>
      <c r="BC31" s="18">
        <f>IFERROR(IF(OR(BB31&gt;=BD31,H31&gt;=BD31),USD_GBP*LOOKUP(IF(BB31="",H31,BB31),{0,1,5,25,100,250,1000},{0.0,0.126,0.126,0.0808,0.0701,0.0612,0.0571}),"MOQ="&amp;BD31),"")</f>
        <v>0.09532524595631148</v>
      </c>
      <c r="BD31" s="17">
        <v>5</v>
      </c>
      <c r="BE31" s="19">
        <f>IFERROR(IF(BB31="",H31,BB31)*BC31,"")</f>
        <v>19.065</v>
      </c>
      <c r="BF31" s="17" t="s">
        <v>121</v>
      </c>
    </row>
    <row r="32" spans="1:58">
      <c r="A32" s="17" t="s">
        <v>125</v>
      </c>
      <c r="B32" s="17" t="s">
        <v>126</v>
      </c>
      <c r="C32" s="17" t="s">
        <v>127</v>
      </c>
      <c r="E32" s="17" t="s">
        <v>123</v>
      </c>
      <c r="F32" s="17" t="s">
        <v>124</v>
      </c>
      <c r="G32" s="17" t="s">
        <v>126</v>
      </c>
      <c r="H32" s="17">
        <f>CEILING(BoardQty*1.0,1)</f>
        <v>100</v>
      </c>
      <c r="I32" s="18">
        <f>IF(MIN(M32,S32,Y32,AE32,AK32,AQ32,AW32,BC32)&lt;&gt;0,MIN(M32,S32,Y32,AE32,AK32,AQ32,AW32,BC32),"")</f>
        <v>0.279</v>
      </c>
      <c r="J32" s="19">
        <f>IF(AND(ISNUMBER(H32),ISNUMBER(I32)),H32*I32,"")</f>
        <v>27.9</v>
      </c>
      <c r="Q32" s="17">
        <v>11884</v>
      </c>
      <c r="R32" s="17"/>
      <c r="S32" s="18">
        <f>IFERROR(IF(OR(R32&gt;=T32,H32&gt;=T32),LOOKUP(IF(R32="",H32,R32),{0,1,10,25,100,250,500,1000,3000},{0.0,0.47,0.402,0.3756,0.3004,0.27892,0.236,0.18236,0.1771}),"MOQ="&amp;T32),"")</f>
        <v>0.3004</v>
      </c>
      <c r="T32" s="17">
        <v>1</v>
      </c>
      <c r="U32" s="19">
        <f>IFERROR(IF(R32="",H32,R32)*S32,"")</f>
        <v>30.04</v>
      </c>
      <c r="V32" s="17" t="s">
        <v>213</v>
      </c>
      <c r="W32" s="17">
        <v>7715</v>
      </c>
      <c r="X32" s="17"/>
      <c r="Y32" s="18">
        <f>IFERROR(IF(OR(X32&gt;=Z32,H32&gt;=Z32),USD_GBP*LOOKUP(IF(X32="",H32,X32),{0,1,5,10,100,500},{0.0,0.554,0.554,0.464,0.286,0.189}),"MOQ="&amp;Z32),"")</f>
        <v>0.38891612472903114</v>
      </c>
      <c r="Z32" s="17">
        <v>5</v>
      </c>
      <c r="AA32" s="19">
        <f>IFERROR(IF(X32="",H32,X32)*Y32,"")</f>
        <v>38.8916</v>
      </c>
      <c r="AB32" s="17" t="s">
        <v>242</v>
      </c>
      <c r="AI32" s="17">
        <v>61619</v>
      </c>
      <c r="AJ32" s="17"/>
      <c r="AK32" s="18">
        <f>IFERROR(IF(OR(AJ32&gt;=AL32,H32&gt;=AL32),LOOKUP(IF(AJ32="",H32,AJ32),{0,1,10,50,100,1000,10000},{0.0,0.47,0.376,0.376,0.279,0.183,0.166}),"MOQ="&amp;AL32),"")</f>
        <v>0.279</v>
      </c>
      <c r="AL32" s="17">
        <v>1</v>
      </c>
      <c r="AM32" s="19">
        <f>IFERROR(IF(AJ32="",H32,AJ32)*AK32,"")</f>
        <v>27.9</v>
      </c>
      <c r="AN32" s="17" t="s">
        <v>281</v>
      </c>
      <c r="AO32" s="17">
        <v>7695</v>
      </c>
      <c r="AP32" s="17"/>
      <c r="AQ32" s="18">
        <f>IFERROR(IF(OR(AP32&gt;=AR32,H32&gt;=AR32),LOOKUP(IF(AP32="",H32,AP32),{0,1,5,10,100},{0.0,0.646,0.646,0.553,0.413}),"MOQ="&amp;AR32),"")</f>
        <v>0.413</v>
      </c>
      <c r="AR32" s="17">
        <v>5</v>
      </c>
      <c r="AS32" s="19">
        <f>IFERROR(IF(AP32="",H32,AP32)*AQ32,"")</f>
        <v>41.3</v>
      </c>
      <c r="AT32" s="17" t="s">
        <v>309</v>
      </c>
      <c r="AU32" s="17">
        <v>12</v>
      </c>
      <c r="AV32" s="17"/>
      <c r="AW32" s="18">
        <f>IFERROR(IF(OR(AV32&gt;=AX32,H32&gt;=AX32),USD_GBP*LOOKUP(IF(AV32="",H32,AV32),{0,1,18,108,1008,3000,3006,9000},{0.0,0.314,0.314,0.161,0.121,0.146,0.099,0.147}),"MOQ="&amp;AX32),"")</f>
        <v>0.4269918292479573</v>
      </c>
      <c r="AX32" s="17">
        <v>18</v>
      </c>
      <c r="AY32" s="19">
        <f>IFERROR(IF(AV32="",H32,AV32)*AW32,"")</f>
        <v>42.6992</v>
      </c>
      <c r="AZ32" s="17" t="s">
        <v>326</v>
      </c>
    </row>
    <row r="33" spans="1:58">
      <c r="A33" s="17" t="s">
        <v>128</v>
      </c>
      <c r="B33" s="17" t="s">
        <v>129</v>
      </c>
      <c r="C33" s="17" t="s">
        <v>130</v>
      </c>
      <c r="E33" s="17" t="s">
        <v>131</v>
      </c>
      <c r="F33" s="17" t="s">
        <v>132</v>
      </c>
      <c r="G33" s="17" t="s">
        <v>133</v>
      </c>
      <c r="H33" s="17">
        <f>CEILING(BoardQty*1.0,1)</f>
        <v>100</v>
      </c>
      <c r="I33" s="18">
        <f>IF(MIN(M33,S33,Y33,AE33,AK33,AQ33,AW33,BC33)&lt;&gt;0,MIN(M33,S33,Y33,AE33,AK33,AQ33,AW33,BC33),"")</f>
        <v>0.537</v>
      </c>
      <c r="J33" s="19">
        <f>IF(AND(ISNUMBER(H33),ISNUMBER(I33)),H33*I33,"")</f>
        <v>53.7</v>
      </c>
      <c r="Q33" s="20" t="s">
        <v>195</v>
      </c>
      <c r="R33" s="17"/>
      <c r="S33" s="18">
        <f>IFERROR(IF(OR(R33&gt;=T33,H33&gt;=T33),LOOKUP(IF(R33="",H33,R33),{0,1,4000},{0.0,0.35,0.35}),"MOQ="&amp;T33),"")</f>
        <v/>
      </c>
      <c r="T33" s="17">
        <v>4000</v>
      </c>
      <c r="U33" s="19">
        <f>IFERROR(IF(R33="",H33,R33)*S33,"")</f>
        <v/>
      </c>
      <c r="V33" s="17" t="s">
        <v>214</v>
      </c>
      <c r="AI33" s="20" t="s">
        <v>195</v>
      </c>
      <c r="AJ33" s="17"/>
      <c r="AK33" s="18">
        <f>IFERROR(IF(OR(AJ33&gt;=AL33,H33&gt;=AL33),LOOKUP(IF(AJ33="",H33,AJ33),{0,1,10,50,100,1000,10000},{0.0,0.8,0.7,0.7,0.537,0.34,0.307}),"MOQ="&amp;AL33),"")</f>
        <v>0.537</v>
      </c>
      <c r="AL33" s="17">
        <v>1</v>
      </c>
      <c r="AM33" s="19">
        <f>IFERROR(IF(AJ33="",H33,AJ33)*AK33,"")</f>
        <v>53.7</v>
      </c>
      <c r="AN33" s="17" t="s">
        <v>282</v>
      </c>
    </row>
    <row r="34" spans="1:58" ht="30" customHeight="1">
      <c r="A34" s="17" t="s">
        <v>134</v>
      </c>
      <c r="B34" s="17" t="s">
        <v>135</v>
      </c>
      <c r="C34" s="17" t="s">
        <v>136</v>
      </c>
      <c r="E34" s="17" t="s">
        <v>137</v>
      </c>
      <c r="F34" s="17" t="s">
        <v>132</v>
      </c>
      <c r="G34" s="17" t="s">
        <v>135</v>
      </c>
      <c r="H34" s="17">
        <f>CEILING(BoardQty*1.0,1)</f>
        <v>100</v>
      </c>
      <c r="I34" s="18">
        <f>IF(MIN(M34,S34,Y34,AE34,AK34,AQ34,AW34,BC34)&lt;&gt;0,MIN(M34,S34,Y34,AE34,AK34,AQ34,AW34,BC34),"")</f>
        <v>2.08</v>
      </c>
      <c r="J34" s="19">
        <f>IF(AND(ISNUMBER(H34),ISNUMBER(I34)),H34*I34,"")</f>
        <v>208.0</v>
      </c>
      <c r="Q34" s="20" t="s">
        <v>195</v>
      </c>
      <c r="R34" s="17"/>
      <c r="S34" s="18">
        <f>IFERROR(IF(OR(R34&gt;=T34,H34&gt;=T34),LOOKUP(IF(R34="",H34,R34),{0,1,2000},{0.0,1.61,1.61}),"MOQ="&amp;T34),"")</f>
        <v/>
      </c>
      <c r="T34" s="17">
        <v>2000</v>
      </c>
      <c r="U34" s="19">
        <f>IFERROR(IF(R34="",H34,R34)*S34,"")</f>
        <v/>
      </c>
      <c r="V34" s="17" t="s">
        <v>215</v>
      </c>
      <c r="AI34" s="17">
        <v>477</v>
      </c>
      <c r="AJ34" s="17"/>
      <c r="AK34" s="18">
        <f>IFERROR(IF(OR(AJ34&gt;=AL34,H34&gt;=AL34),LOOKUP(IF(AJ34="",H34,AJ34),{0,1,10,50,100,1000,10000},{0.0,2.87,2.59,2.44,2.08,1.42,1.41}),"MOQ="&amp;AL34),"")</f>
        <v>2.08</v>
      </c>
      <c r="AL34" s="17">
        <v>1</v>
      </c>
      <c r="AM34" s="19">
        <f>IFERROR(IF(AJ34="",H34,AJ34)*AK34,"")</f>
        <v>208.0</v>
      </c>
      <c r="AN34" s="17" t="s">
        <v>283</v>
      </c>
    </row>
    <row r="35" spans="1:58" ht="30" customHeight="1">
      <c r="A35" s="17" t="s">
        <v>138</v>
      </c>
      <c r="B35" s="17" t="s">
        <v>139</v>
      </c>
      <c r="C35" s="17" t="s">
        <v>140</v>
      </c>
      <c r="D35" s="17" t="s">
        <v>141</v>
      </c>
      <c r="E35" s="17" t="s">
        <v>142</v>
      </c>
      <c r="F35" s="17" t="s">
        <v>143</v>
      </c>
      <c r="G35" s="17" t="s">
        <v>139</v>
      </c>
      <c r="H35" s="17">
        <f>CEILING(BoardQty*1.0,1)</f>
        <v>100</v>
      </c>
      <c r="I35" s="18">
        <f>IF(MIN(M35,S35,Y35,AE35,AK35,AQ35,AW35,BC35)&lt;&gt;0,MIN(M35,S35,Y35,AE35,AK35,AQ35,AW35,BC35),"")</f>
        <v>3.62</v>
      </c>
      <c r="J35" s="19">
        <f>IF(AND(ISNUMBER(H35),ISNUMBER(I35)),H35*I35,"")</f>
        <v>362.0</v>
      </c>
      <c r="Q35" s="20" t="s">
        <v>195</v>
      </c>
      <c r="R35" s="17"/>
      <c r="S35" s="18">
        <f>IFERROR(IF(OR(R35&gt;=T35,H35&gt;=T35),LOOKUP(IF(R35="",H35,R35),{0,1,10},{0.0,4.87,4.812}),"MOQ="&amp;T35),"")</f>
        <v>4.812</v>
      </c>
      <c r="T35" s="17">
        <v>1</v>
      </c>
      <c r="U35" s="19">
        <f>IFERROR(IF(R35="",H35,R35)*S35,"")</f>
        <v>481.2</v>
      </c>
      <c r="V35" s="17" t="s">
        <v>216</v>
      </c>
      <c r="W35" s="20" t="s">
        <v>195</v>
      </c>
      <c r="X35" s="17"/>
      <c r="Y35" s="18">
        <f>IFERROR(IF(OR(X35&gt;=Z35,H35&gt;=Z35),USD_GBP*LOOKUP(IF(X35="",H35,X35),{0,1,10,25,50},{0.0,4.35,3.91,3.69,3.62}),"MOQ="&amp;Z35),"")</f>
        <v>4.922644655661164</v>
      </c>
      <c r="Z35" s="17">
        <v>1</v>
      </c>
      <c r="AA35" s="19">
        <f>IFERROR(IF(X35="",H35,X35)*Y35,"")</f>
        <v>492.2645</v>
      </c>
      <c r="AB35" s="17" t="s">
        <v>243</v>
      </c>
      <c r="AI35" s="20" t="s">
        <v>195</v>
      </c>
      <c r="AJ35" s="17"/>
      <c r="AK35" s="18">
        <f>IFERROR(IF(OR(AJ35&gt;=AL35,H35&gt;=AL35),LOOKUP(IF(AJ35="",H35,AJ35),{0,1,10,50,100,1000,10000},{0.0,4.92,4.42,4.18,3.62,3.49,3.49}),"MOQ="&amp;AL35),"")</f>
        <v>3.62</v>
      </c>
      <c r="AL35" s="17">
        <v>1</v>
      </c>
      <c r="AM35" s="19">
        <f>IFERROR(IF(AJ35="",H35,AJ35)*AK35,"")</f>
        <v>362.0</v>
      </c>
      <c r="AN35" s="17" t="s">
        <v>284</v>
      </c>
      <c r="AO35" s="20" t="s">
        <v>195</v>
      </c>
      <c r="AP35" s="17"/>
      <c r="AQ35" s="18">
        <f>IFERROR(IF(OR(AP35&gt;=AR35,H35&gt;=AR35),LOOKUP(IF(AP35="",H35,AP35),{0,1,10,2450},{0.0,4.87,4.81,4.81}),"MOQ="&amp;AR35),"")</f>
        <v>4.81</v>
      </c>
      <c r="AR35" s="17">
        <v>1</v>
      </c>
      <c r="AS35" s="19">
        <f>IFERROR(IF(AP35="",H35,AP35)*AQ35,"")</f>
        <v>481.0</v>
      </c>
      <c r="AT35" s="17" t="s">
        <v>310</v>
      </c>
    </row>
    <row r="36" spans="1:58" ht="30" customHeight="1">
      <c r="A36" s="17" t="s">
        <v>144</v>
      </c>
      <c r="B36" s="17" t="s">
        <v>145</v>
      </c>
      <c r="C36" s="17" t="s">
        <v>146</v>
      </c>
      <c r="E36" s="17" t="s">
        <v>147</v>
      </c>
      <c r="F36" s="17" t="s">
        <v>124</v>
      </c>
      <c r="G36" s="17" t="s">
        <v>148</v>
      </c>
      <c r="H36" s="17">
        <f>CEILING(BoardQty*1.0,1)</f>
        <v>100</v>
      </c>
      <c r="I36" s="18">
        <f>IF(MIN(M36,S36,Y36,AE36,AK36,AQ36,AW36,BC36)&lt;&gt;0,MIN(M36,S36,Y36,AE36,AK36,AQ36,AW36,BC36),"")</f>
        <v>0.17514824078706018</v>
      </c>
      <c r="J36" s="19">
        <f>IF(AND(ISNUMBER(H36),ISNUMBER(I36)),H36*I36,"")</f>
        <v>17.5148</v>
      </c>
      <c r="Q36" s="20" t="s">
        <v>195</v>
      </c>
      <c r="R36" s="17"/>
      <c r="S36" s="18">
        <f>IFERROR(IF(OR(R36&gt;=T36,H36&gt;=T36),LOOKUP(IF(R36="",H36,R36),{0,1,10,25,50,100,250,500,1000,4000,8000,12000,28000},{0.0,0.26,0.239,0.228,0.2208,0.2134,0.2024,0.16928,0.13138,0.12512,0.11776,0.1104,0.10304}),"MOQ="&amp;T36),"")</f>
        <v>0.2134</v>
      </c>
      <c r="T36" s="17">
        <v>1</v>
      </c>
      <c r="U36" s="19">
        <f>IFERROR(IF(R36="",H36,R36)*S36,"")</f>
        <v>21.34</v>
      </c>
      <c r="V36" s="17" t="s">
        <v>217</v>
      </c>
      <c r="W36" s="20" t="s">
        <v>195</v>
      </c>
      <c r="X36" s="17"/>
      <c r="Y36" s="18">
        <f>IFERROR(IF(OR(X36&gt;=Z36,H36&gt;=Z36),USD_GBP*LOOKUP(IF(X36="",H36,X36),{0,1,5,10,100,500},{0.0,0.531,0.531,0.424,0.258,0.144}),"MOQ="&amp;Z36),"")</f>
        <v>0.35084042021010503</v>
      </c>
      <c r="Z36" s="17">
        <v>5</v>
      </c>
      <c r="AA36" s="19">
        <f>IFERROR(IF(X36="",H36,X36)*Y36,"")</f>
        <v>35.084</v>
      </c>
      <c r="AB36" s="17" t="s">
        <v>244</v>
      </c>
      <c r="AI36" s="20" t="s">
        <v>195</v>
      </c>
      <c r="AJ36" s="17"/>
      <c r="AK36" s="18">
        <f>IFERROR(IF(OR(AJ36&gt;=AL36,H36&gt;=AL36),LOOKUP(IF(AJ36="",H36,AJ36),{0,1,10,50,100,1000,10000},{0.0,0.45,0.367,0.367,0.25,0.141,0.12}),"MOQ="&amp;AL36),"")</f>
        <v>0.25</v>
      </c>
      <c r="AL36" s="17">
        <v>1</v>
      </c>
      <c r="AM36" s="19">
        <f>IFERROR(IF(AJ36="",H36,AJ36)*AK36,"")</f>
        <v>25.0</v>
      </c>
      <c r="AN36" s="17" t="s">
        <v>285</v>
      </c>
      <c r="AO36" s="20" t="s">
        <v>195</v>
      </c>
      <c r="AP36" s="17"/>
      <c r="AQ36" s="18">
        <f>IFERROR(IF(OR(AP36&gt;=AR36,H36&gt;=AR36),LOOKUP(IF(AP36="",H36,AP36),{0,1,10,100,3000,4000,6000,12000,18000,30000},{0.0,0.272,0.258,0.232,0.131,0.131,0.117,0.106,0.098,0.091}),"MOQ="&amp;AR36),"")</f>
        <v>0.232</v>
      </c>
      <c r="AR36" s="17">
        <v>1</v>
      </c>
      <c r="AS36" s="19">
        <f>IFERROR(IF(AP36="",H36,AP36)*AQ36,"")</f>
        <v>23.2</v>
      </c>
      <c r="AT36" s="17" t="s">
        <v>311</v>
      </c>
      <c r="AU36" s="17">
        <v>4000</v>
      </c>
      <c r="AV36" s="17"/>
      <c r="AW36" s="18">
        <f>IFERROR(IF(OR(AV36&gt;=AX36,H36&gt;=AX36),USD_GBP*LOOKUP(IF(AV36="",H36,AV36),{0,1,50,100,1000,4000,8000,24000,48000,100000},{0.0,0.295,0.295,0.227,0.219,0.205,0.185,0.083,0.076,0.073}),"MOQ="&amp;AX36),"")</f>
        <v>0.30868517592129396</v>
      </c>
      <c r="AX36" s="17">
        <v>50</v>
      </c>
      <c r="AY36" s="19">
        <f>IFERROR(IF(AV36="",H36,AV36)*AW36,"")</f>
        <v>30.8685</v>
      </c>
      <c r="AZ36" s="17" t="s">
        <v>327</v>
      </c>
      <c r="BA36" s="20" t="s">
        <v>195</v>
      </c>
      <c r="BB36" s="17"/>
      <c r="BC36" s="18">
        <f>IFERROR(IF(OR(BB36&gt;=BD36,H36&gt;=BD36),USD_GBP*LOOKUP(IF(BB36="",H36,BB36),{0,1,5,25,100,500,2000},{0.0,0.17,0.17,0.1488,0.1288,0.11248,0.10499}),"MOQ="&amp;BD36),"")</f>
        <v>0.17514824078706018</v>
      </c>
      <c r="BD36" s="17">
        <v>5</v>
      </c>
      <c r="BE36" s="19">
        <f>IFERROR(IF(BB36="",H36,BB36)*BC36,"")</f>
        <v>17.5148</v>
      </c>
      <c r="BF36" s="17" t="s">
        <v>148</v>
      </c>
    </row>
    <row r="37" spans="1:58">
      <c r="A37" s="17" t="s">
        <v>149</v>
      </c>
      <c r="B37" s="17" t="s">
        <v>150</v>
      </c>
      <c r="C37" s="17" t="s">
        <v>151</v>
      </c>
      <c r="E37" s="17" t="s">
        <v>152</v>
      </c>
      <c r="F37" s="17" t="s">
        <v>153</v>
      </c>
      <c r="G37" s="17" t="s">
        <v>150</v>
      </c>
      <c r="H37" s="17">
        <f>CEILING(BoardQty*1.0,1)</f>
        <v>100</v>
      </c>
      <c r="I37" s="18">
        <f>IF(MIN(M37,S37,Y37,AE37,AK37,AQ37,AW37,BC37)&lt;&gt;0,MIN(M37,S37,Y37,AE37,AK37,AQ37,AW37,BC37),"")</f>
        <v>0.5779348007337002</v>
      </c>
      <c r="J37" s="19">
        <f>IF(AND(ISNUMBER(H37),ISNUMBER(I37)),H37*I37,"")</f>
        <v>57.7935</v>
      </c>
      <c r="K37" s="17">
        <v>2929</v>
      </c>
      <c r="L37" s="17"/>
      <c r="M37" s="18">
        <f>IFERROR(IF(OR(L37&gt;=N37,H37&gt;=N37),LOOKUP(IF(L37="",H37,L37),{0,1,10,25,100,250,500,1000},{0.0,0.6674,0.6608,0.653,0.6453,0.6375,0.6298,0.622}),"MOQ="&amp;N37),"")</f>
        <v>0.6453</v>
      </c>
      <c r="N37" s="17">
        <v>1</v>
      </c>
      <c r="O37" s="19">
        <f>IFERROR(IF(L37="",H37,L37)*M37,"")</f>
        <v>64.53</v>
      </c>
      <c r="P37" s="17" t="s">
        <v>190</v>
      </c>
      <c r="Q37" s="20" t="s">
        <v>195</v>
      </c>
      <c r="R37" s="17"/>
      <c r="S37" s="18">
        <f>IFERROR(IF(OR(R37&gt;=T37,H37&gt;=T37),LOOKUP(IF(R37="",H37,R37),{0,1,25,100,3000},{0.0,0.75,0.636,0.585,0.585}),"MOQ="&amp;T37),"")</f>
        <v>0.585</v>
      </c>
      <c r="T37" s="17">
        <v>1</v>
      </c>
      <c r="U37" s="19">
        <f>IFERROR(IF(R37="",H37,R37)*S37,"")</f>
        <v>58.5</v>
      </c>
      <c r="V37" s="17" t="s">
        <v>218</v>
      </c>
      <c r="W37" s="17">
        <v>1389</v>
      </c>
      <c r="X37" s="17"/>
      <c r="Y37" s="18">
        <f>IFERROR(IF(OR(X37&gt;=Z37,H37&gt;=Z37),USD_GBP*LOOKUP(IF(X37="",H37,X37),{0,1,25,100},{0.0,0.718,0.606,0.558}),"MOQ="&amp;Z37),"")</f>
        <v>0.7587943971985993</v>
      </c>
      <c r="Z37" s="17">
        <v>1</v>
      </c>
      <c r="AA37" s="19">
        <f>IFERROR(IF(X37="",H37,X37)*Y37,"")</f>
        <v>75.8794</v>
      </c>
      <c r="AB37" s="17" t="s">
        <v>245</v>
      </c>
      <c r="AI37" s="17">
        <v>34212</v>
      </c>
      <c r="AJ37" s="17"/>
      <c r="AK37" s="18">
        <f>IFERROR(IF(OR(AJ37&gt;=AL37,H37&gt;=AL37),LOOKUP(IF(AJ37="",H37,AJ37),{0,1,10,50,100,1000,10000},{0.0,0.76,0.753,0.636,0.585,0.585,0.585}),"MOQ="&amp;AL37),"")</f>
        <v>0.585</v>
      </c>
      <c r="AL37" s="17">
        <v>1</v>
      </c>
      <c r="AM37" s="19">
        <f>IFERROR(IF(AJ37="",H37,AJ37)*AK37,"")</f>
        <v>58.5</v>
      </c>
      <c r="AN37" s="17" t="s">
        <v>286</v>
      </c>
      <c r="AO37" s="20" t="s">
        <v>195</v>
      </c>
      <c r="AP37" s="17"/>
      <c r="AQ37" s="18">
        <f>IFERROR(IF(OR(AP37&gt;=AR37,H37&gt;=AR37),LOOKUP(IF(AP37="",H37,AP37),{0,1,10,25,50,100,3000},{0.0,0.585,0.866,0.795,0.764,0.731,0.585}),"MOQ="&amp;AR37),"")</f>
        <v>0.731</v>
      </c>
      <c r="AR37" s="17">
        <v>1</v>
      </c>
      <c r="AS37" s="19">
        <f>IFERROR(IF(AP37="",H37,AP37)*AQ37,"")</f>
        <v>73.1</v>
      </c>
      <c r="AT37" s="17" t="s">
        <v>312</v>
      </c>
      <c r="AU37" s="17">
        <v>400</v>
      </c>
      <c r="AV37" s="17"/>
      <c r="AW37" s="18">
        <f>IFERROR(IF(OR(AV37&gt;=AX37,H37&gt;=AX37),USD_GBP*LOOKUP(IF(AV37="",H37,AV37),{0,1,20,40,100,3000},{0.0,0.493,0.493,0.471,0.425,0.425}),"MOQ="&amp;AX37),"")</f>
        <v>0.5779348007337002</v>
      </c>
      <c r="AX37" s="17">
        <v>20</v>
      </c>
      <c r="AY37" s="19">
        <f>IFERROR(IF(AV37="",H37,AV37)*AW37,"")</f>
        <v>57.7935</v>
      </c>
      <c r="AZ37" s="17" t="s">
        <v>328</v>
      </c>
      <c r="BA37" s="20" t="s">
        <v>195</v>
      </c>
      <c r="BB37" s="17"/>
      <c r="BC37" s="18">
        <f>IFERROR(IF(OR(BB37&gt;=BD37,H37&gt;=BD37),USD_GBP*LOOKUP(IF(BB37="",H37,BB37),{0,1,5,25,100},{0.0,0.68,0.63,0.57,0.52}),"MOQ="&amp;BD37),"")</f>
        <v>0.7071202267800567</v>
      </c>
      <c r="BD37" s="17">
        <v>1</v>
      </c>
      <c r="BE37" s="19">
        <f>IFERROR(IF(BB37="",H37,BB37)*BC37,"")</f>
        <v>70.712</v>
      </c>
      <c r="BF37" s="17" t="s">
        <v>190</v>
      </c>
    </row>
    <row r="38" spans="1:58" ht="45" customHeight="1">
      <c r="A38" s="17" t="s">
        <v>154</v>
      </c>
      <c r="B38" s="17" t="s">
        <v>155</v>
      </c>
      <c r="C38" s="17" t="s">
        <v>156</v>
      </c>
      <c r="D38" s="17" t="s">
        <v>157</v>
      </c>
      <c r="E38" s="17" t="s">
        <v>158</v>
      </c>
      <c r="F38" s="17" t="s">
        <v>159</v>
      </c>
      <c r="G38" s="17" t="s">
        <v>155</v>
      </c>
      <c r="H38" s="17">
        <f>CEILING(BoardQty*1.0,1)</f>
        <v>100</v>
      </c>
      <c r="I38" s="18">
        <f>IF(MIN(M38,S38,Y38,AE38,AK38,AQ38,AW38,BC38)&lt;&gt;0,MIN(M38,S38,Y38,AE38,AK38,AQ38,AW38,BC38),"")</f>
        <v/>
      </c>
      <c r="J38" s="19">
        <f>IF(AND(ISNUMBER(H38),ISNUMBER(I38)),H38*I38,"")</f>
        <v/>
      </c>
    </row>
    <row r="39" spans="1:58" ht="30" customHeight="1">
      <c r="A39" s="17" t="s">
        <v>160</v>
      </c>
      <c r="B39" s="17" t="s">
        <v>161</v>
      </c>
      <c r="C39" s="17" t="s">
        <v>162</v>
      </c>
      <c r="D39" s="17" t="s">
        <v>163</v>
      </c>
      <c r="E39" s="17" t="s">
        <v>164</v>
      </c>
      <c r="F39" s="17" t="s">
        <v>165</v>
      </c>
      <c r="G39" s="17" t="s">
        <v>161</v>
      </c>
      <c r="H39" s="17">
        <f>CEILING(BoardQty*1.0,1)</f>
        <v>100</v>
      </c>
      <c r="I39" s="18">
        <f>IF(MIN(M39,S39,Y39,AE39,AK39,AQ39,AW39,BC39)&lt;&gt;0,MIN(M39,S39,Y39,AE39,AK39,AQ39,AW39,BC39),"")</f>
        <v>1.556</v>
      </c>
      <c r="J39" s="19">
        <f>IF(AND(ISNUMBER(H39),ISNUMBER(I39)),H39*I39,"")</f>
        <v>155.6</v>
      </c>
      <c r="K39" s="17">
        <v>53</v>
      </c>
      <c r="L39" s="17"/>
      <c r="M39" s="18">
        <f>IFERROR(IF(OR(L39&gt;=N39,H39&gt;=N39),LOOKUP(IF(L39="",H39,L39),{0,1,10,25,50,100,250,500,1000,5000},{0.0,1.9353,1.7603,1.6963,1.6827,1.5591,1.5546,1.5078,1.4192,1.368}),"MOQ="&amp;N39),"")</f>
        <v>1.5591</v>
      </c>
      <c r="N39" s="17">
        <v>1</v>
      </c>
      <c r="O39" s="19">
        <f>IFERROR(IF(L39="",H39,L39)*M39,"")</f>
        <v>155.91</v>
      </c>
      <c r="P39" s="17" t="s">
        <v>161</v>
      </c>
      <c r="Q39" s="17">
        <v>41615</v>
      </c>
      <c r="R39" s="17"/>
      <c r="S39" s="18">
        <f>IFERROR(IF(OR(R39&gt;=T39,H39&gt;=T39),LOOKUP(IF(R39="",H39,R39),{0,1,10,25,50,100,250,500,1000,5000},{0.0,1.97,1.798,1.7496,1.7408,1.556,1.55152,1.5281,1.46322,1.36231}),"MOQ="&amp;T39),"")</f>
        <v>1.556</v>
      </c>
      <c r="T39" s="17">
        <v>1</v>
      </c>
      <c r="U39" s="19">
        <f>IFERROR(IF(R39="",H39,R39)*S39,"")</f>
        <v>155.6</v>
      </c>
      <c r="V39" s="17" t="s">
        <v>219</v>
      </c>
    </row>
    <row r="40" spans="1:58" ht="30" customHeight="1">
      <c r="A40" s="17" t="s">
        <v>166</v>
      </c>
      <c r="B40" s="17" t="s">
        <v>167</v>
      </c>
      <c r="C40" s="17" t="s">
        <v>168</v>
      </c>
      <c r="E40" s="17" t="s">
        <v>169</v>
      </c>
      <c r="F40" s="17" t="s">
        <v>170</v>
      </c>
      <c r="G40" s="17" t="s">
        <v>167</v>
      </c>
      <c r="H40" s="17">
        <f>CEILING(BoardQty*1.0,1)</f>
        <v>100</v>
      </c>
      <c r="I40" s="18">
        <f>IF(MIN(M40,S40,Y40,AE40,AK40,AQ40,AW40,BC40)&lt;&gt;0,MIN(M40,S40,Y40,AE40,AK40,AQ40,AW40,BC40),"")</f>
        <v>5.005</v>
      </c>
      <c r="J40" s="19">
        <f>IF(AND(ISNUMBER(H40),ISNUMBER(I40)),H40*I40,"")</f>
        <v>500.5</v>
      </c>
      <c r="Q40" s="20" t="s">
        <v>195</v>
      </c>
      <c r="R40" s="17"/>
      <c r="S40" s="18">
        <f>IFERROR(IF(OR(R40&gt;=T40,H40&gt;=T40),LOOKUP(IF(R40="",H40,R40),{0,1,25,100,2000},{0.0,6.0,5.25,5.005,5.005}),"MOQ="&amp;T40),"")</f>
        <v>5.005</v>
      </c>
      <c r="T40" s="17">
        <v>1</v>
      </c>
      <c r="U40" s="19">
        <f>IFERROR(IF(R40="",H40,R40)*S40,"")</f>
        <v>500.5</v>
      </c>
      <c r="V40" s="17" t="s">
        <v>220</v>
      </c>
      <c r="W40" s="20" t="s">
        <v>195</v>
      </c>
      <c r="X40" s="17"/>
      <c r="Y40" s="18">
        <f>IFERROR(IF(OR(X40&gt;=Z40,H40&gt;=Z40),USD_GBP*LOOKUP(IF(X40="",H40,X40),{0,1,10,25,50,100},{0.0,5.87,5.27,4.66,4.57,4.57}),"MOQ="&amp;Z40),"")</f>
        <v>6.214498916124729</v>
      </c>
      <c r="Z40" s="17">
        <v>1</v>
      </c>
      <c r="AA40" s="19">
        <f>IFERROR(IF(X40="",H40,X40)*Y40,"")</f>
        <v>621.4499</v>
      </c>
      <c r="AB40" s="17" t="s">
        <v>246</v>
      </c>
      <c r="AI40" s="20" t="s">
        <v>195</v>
      </c>
      <c r="AJ40" s="17"/>
      <c r="AK40" s="18">
        <f>IFERROR(IF(OR(AJ40&gt;=AL40,H40&gt;=AL40),LOOKUP(IF(AJ40="",H40,AJ40),{0,1,10,50,100,1000,10000},{0.0,6.06,6.06,5.31,5.06,5.06,5.05}),"MOQ="&amp;AL40),"")</f>
        <v>5.06</v>
      </c>
      <c r="AL40" s="17">
        <v>1</v>
      </c>
      <c r="AM40" s="19">
        <f>IFERROR(IF(AJ40="",H40,AJ40)*AK40,"")</f>
        <v>506.0</v>
      </c>
      <c r="AN40" s="17" t="s">
        <v>287</v>
      </c>
      <c r="AO40" s="20" t="s">
        <v>195</v>
      </c>
      <c r="AP40" s="17"/>
      <c r="AQ40" s="18">
        <f>IFERROR(IF(OR(AP40&gt;=AR40,H40&gt;=AR40),LOOKUP(IF(AP40="",H40,AP40),{0,1,10,25,2000,4000,8000,12000},{0.0,5.56,6.93,6.64,5.43,5.27,4.95,4.72}),"MOQ="&amp;AR40),"")</f>
        <v>6.64</v>
      </c>
      <c r="AR40" s="17">
        <v>1</v>
      </c>
      <c r="AS40" s="19">
        <f>IFERROR(IF(AP40="",H40,AP40)*AQ40,"")</f>
        <v>664.0</v>
      </c>
      <c r="AT40" s="17" t="s">
        <v>313</v>
      </c>
    </row>
    <row r="41" spans="1:58" ht="30" customHeight="1">
      <c r="A41" s="17" t="s">
        <v>171</v>
      </c>
      <c r="B41" s="17" t="s">
        <v>172</v>
      </c>
      <c r="C41" s="17" t="s">
        <v>173</v>
      </c>
      <c r="D41" s="17" t="s">
        <v>174</v>
      </c>
      <c r="E41" s="17" t="s">
        <v>175</v>
      </c>
      <c r="F41" s="17" t="s">
        <v>176</v>
      </c>
      <c r="G41" s="17" t="s">
        <v>172</v>
      </c>
      <c r="H41" s="17">
        <f>CEILING(BoardQty*1.0,1)</f>
        <v>100</v>
      </c>
      <c r="I41" s="18">
        <f>IF(MIN(M41,S41,Y41,AE41,AK41,AQ41,AW41,BC41)&lt;&gt;0,MIN(M41,S41,Y41,AE41,AK41,AQ41,AW41,BC41),"")</f>
        <v>0.896</v>
      </c>
      <c r="J41" s="19">
        <f>IF(AND(ISNUMBER(H41),ISNUMBER(I41)),H41*I41,"")</f>
        <v>89.6</v>
      </c>
      <c r="Q41" s="20" t="s">
        <v>195</v>
      </c>
      <c r="R41" s="17"/>
      <c r="S41" s="18">
        <f>IFERROR(IF(OR(R41&gt;=T41,H41&gt;=T41),LOOKUP(IF(R41="",H41,R41),{0,1,10,50,100,500,1000,3000},{0.0,1.62,1.548,1.512,1.296,1.26,1.062,1.008}),"MOQ="&amp;T41),"")</f>
        <v>1.296</v>
      </c>
      <c r="T41" s="17">
        <v>1</v>
      </c>
      <c r="U41" s="19">
        <f>IFERROR(IF(R41="",H41,R41)*S41,"")</f>
        <v>129.6</v>
      </c>
      <c r="V41" s="17" t="s">
        <v>221</v>
      </c>
      <c r="W41" s="17">
        <v>320</v>
      </c>
      <c r="X41" s="17"/>
      <c r="Y41" s="18">
        <f>IFERROR(IF(OR(X41&gt;=Z41,H41&gt;=Z41),USD_GBP*LOOKUP(IF(X41="",H41,X41),{0,1,5,50,100,250,500,3000,15000},{0.0,1.44,1.44,1.21,1.21,1.09,0.965,0.906,0.888}),"MOQ="&amp;Z41),"")</f>
        <v>1.6454143738535933</v>
      </c>
      <c r="Z41" s="17">
        <v>5</v>
      </c>
      <c r="AA41" s="19">
        <f>IFERROR(IF(X41="",H41,X41)*Y41,"")</f>
        <v>164.5414</v>
      </c>
      <c r="AB41" s="17" t="s">
        <v>247</v>
      </c>
      <c r="AI41" s="17">
        <v>3379</v>
      </c>
      <c r="AJ41" s="17"/>
      <c r="AK41" s="18">
        <f>IFERROR(IF(OR(AJ41&gt;=AL41,H41&gt;=AL41),LOOKUP(IF(AJ41="",H41,AJ41),{0,1,10,50,100,1000,10000},{0.0,1.8,1.72,1.68,1.44,1.15,1.08}),"MOQ="&amp;AL41),"")</f>
        <v>1.44</v>
      </c>
      <c r="AL41" s="17">
        <v>1</v>
      </c>
      <c r="AM41" s="19">
        <f>IFERROR(IF(AJ41="",H41,AJ41)*AK41,"")</f>
        <v>144.0</v>
      </c>
      <c r="AN41" s="17" t="s">
        <v>288</v>
      </c>
      <c r="AO41" s="17">
        <v>110</v>
      </c>
      <c r="AP41" s="17"/>
      <c r="AQ41" s="18">
        <f>IFERROR(IF(OR(AP41&gt;=AR41,H41&gt;=AR41),LOOKUP(IF(AP41="",H41,AP41),{0,1,10,25,50,100,1000,2000,3000,4000,6000,10000},{0.0,0.896,0.896,0.896,0.896,0.896,1.34,1.28,1.28,1.17,1.12,1.09}),"MOQ="&amp;AR41),"")</f>
        <v>0.896</v>
      </c>
      <c r="AR41" s="17">
        <v>1</v>
      </c>
      <c r="AS41" s="19">
        <f>IFERROR(IF(AP41="",H41,AP41)*AQ41,"")</f>
        <v>89.6</v>
      </c>
      <c r="AT41" s="17" t="s">
        <v>314</v>
      </c>
    </row>
    <row r="43" spans="1:58">
      <c r="B43" s="21" t="s">
        <v>333</v>
      </c>
      <c r="I43" s="1" t="s">
        <v>331</v>
      </c>
      <c r="J43" s="5">
        <f>SUM(O43,U43,AA43,AG43,AM43,AS43,AY43,BE43)</f>
        <v>0</v>
      </c>
      <c r="K43" s="22" t="s">
        <v>191</v>
      </c>
      <c r="L43" s="6">
        <f>IFERROR(IF(COUNTIF(L7:L41,"&gt;0")&gt;0,COUNTIF(L7:L41,"&gt;0")&amp;" of "&amp;(ROWS(N7:N41)-COUNTBLANK(N7:N41))&amp;" parts purchased",""),"")</f>
        <v/>
      </c>
      <c r="O43" s="5">
        <f>SUMIF(L7:L41,"&gt;0",O7:O41)</f>
        <v>0</v>
      </c>
      <c r="Q43" s="22" t="s">
        <v>191</v>
      </c>
      <c r="R43" s="6">
        <f>IFERROR(IF(COUNTIF(R7:R41,"&gt;0")&gt;0,COUNTIF(R7:R41,"&gt;0")&amp;" of "&amp;(ROWS(T7:T41)-COUNTBLANK(T7:T41))&amp;" parts purchased",""),"")</f>
        <v/>
      </c>
      <c r="U43" s="5">
        <f>SUMIF(R7:R41,"&gt;0",U7:U41)</f>
        <v>0</v>
      </c>
      <c r="W43" s="22" t="s">
        <v>191</v>
      </c>
      <c r="X43" s="6">
        <f>IFERROR(IF(COUNTIF(X7:X41,"&gt;0")&gt;0,COUNTIF(X7:X41,"&gt;0")&amp;" of "&amp;(ROWS(Z7:Z41)-COUNTBLANK(Z7:Z41))&amp;" parts purchased",""),"")</f>
        <v/>
      </c>
      <c r="AA43" s="5">
        <f>SUMIF(X7:X41,"&gt;0",AA7:AA41)</f>
        <v>0</v>
      </c>
      <c r="AC43" s="22" t="s">
        <v>191</v>
      </c>
      <c r="AD43" s="6">
        <f>IFERROR(IF(COUNTIF(AD7:AD41,"&gt;0")&gt;0,COUNTIF(AD7:AD41,"&gt;0")&amp;" of "&amp;(ROWS(AF7:AF41)-COUNTBLANK(AF7:AF41))&amp;" parts purchased",""),"")</f>
        <v/>
      </c>
      <c r="AG43" s="5">
        <f>SUMIF(AD7:AD41,"&gt;0",AG7:AG41)</f>
        <v>0</v>
      </c>
      <c r="AI43" s="22" t="s">
        <v>191</v>
      </c>
      <c r="AJ43" s="6">
        <f>IFERROR(IF(COUNTIF(AJ7:AJ41,"&gt;0")&gt;0,COUNTIF(AJ7:AJ41,"&gt;0")&amp;" of "&amp;(ROWS(AL7:AL41)-COUNTBLANK(AL7:AL41))&amp;" parts purchased",""),"")</f>
        <v/>
      </c>
      <c r="AM43" s="5">
        <f>SUMIF(AJ7:AJ41,"&gt;0",AM7:AM41)</f>
        <v>0</v>
      </c>
      <c r="AO43" s="22" t="s">
        <v>191</v>
      </c>
      <c r="AP43" s="6">
        <f>IFERROR(IF(COUNTIF(AP7:AP41,"&gt;0")&gt;0,COUNTIF(AP7:AP41,"&gt;0")&amp;" of "&amp;(ROWS(AR7:AR41)-COUNTBLANK(AR7:AR41))&amp;" parts purchased",""),"")</f>
        <v/>
      </c>
      <c r="AS43" s="5">
        <f>SUMIF(AP7:AP41,"&gt;0",AS7:AS41)</f>
        <v>0</v>
      </c>
      <c r="AU43" s="22" t="s">
        <v>191</v>
      </c>
      <c r="AV43" s="6">
        <f>IFERROR(IF(COUNTIF(AV7:AV41,"&gt;0")&gt;0,COUNTIF(AV7:AV41,"&gt;0")&amp;" of "&amp;(ROWS(AX7:AX41)-COUNTBLANK(AX7:AX41))&amp;" parts purchased",""),"")</f>
        <v/>
      </c>
      <c r="AY43" s="5">
        <f>SUMIF(AV7:AV41,"&gt;0",AY7:AY41)</f>
        <v>0</v>
      </c>
      <c r="BA43" s="22" t="s">
        <v>191</v>
      </c>
      <c r="BB43" s="6">
        <f>IFERROR(IF(COUNTIF(BB7:BB41,"&gt;0")&gt;0,COUNTIF(BB7:BB41,"&gt;0")&amp;" of "&amp;(ROWS(BD7:BD41)-COUNTBLANK(BD7:BD41))&amp;" parts purchased",""),"")</f>
        <v/>
      </c>
      <c r="BE43" s="5">
        <f>SUMIF(BB7:BB41,"&gt;0",BE7:BE41)</f>
        <v>0</v>
      </c>
    </row>
    <row r="44" spans="1:58">
      <c r="B44" s="21" t="s">
        <v>334</v>
      </c>
      <c r="C44">
        <v>1.359846589961647</v>
      </c>
      <c r="I44" s="21" t="s">
        <v>332</v>
      </c>
      <c r="L44" s="23">
        <f>CONCATENATE(L80,L81,L82,L83,L84,L85,L86,L87,L88,L89,L90,L91,L92,L93,L94,L95,L96,L97,L98,L99,L100,L101,L102,L103,L104,L105,L106,L107,L108,L109,L110,L111,L112,L113,L114)</f>
        <v/>
      </c>
      <c r="R44" s="23">
        <f>CONCATENATE(R80,R81,R82,R83,R84,R85,R86,R87,R88,R89,R90,R91,R92,R93,R94,R95,R96,R97,R98,R99,R100,R101,R102,R103,R104,R105,R106,R107,R108,R109,R110,R111,R112,R113,R114)</f>
        <v/>
      </c>
      <c r="X44" s="23">
        <f>CONCATENATE(X80,X81,X82,X83,X84,X85,X86,X87,X88,X89,X90,X91,X92,X93,X94,X95,X96,X97,X98,X99,X100,X101,X102,X103,X104,X105,X106,X107,X108,X109,X110,X111,X112,X113,X114)</f>
        <v/>
      </c>
      <c r="AD44" s="23" t="str">
        <f>CONCATENATE(AD115,AD80,AD81,AD82,AD83,AD84,AD85,AD86,AD87,AD88,AD89,AD90,AD91,AD92,AD93,AD94,AD95,AD96,AD97,AD98,AD99,AD100,AD101,AD102,AD103,AD104,AD105,AD106,AD107,AD108,AD109,AD110,AD111,AD112,AD113,AD114)</f>
        <v>Copy this header and order to a CSV
file and use it for JLCPCB 
manufacturer PCB house.
The multipart components that use
"#" symbol are not allowed by JLCPCB.</v>
      </c>
      <c r="AJ44" s="23">
        <f>CONCATENATE(AJ80,AJ81,AJ82,AJ83,AJ84,AJ85,AJ86,AJ87,AJ88,AJ89,AJ90,AJ91,AJ92,AJ93,AJ94,AJ95,AJ96,AJ97,AJ98,AJ99,AJ100,AJ101,AJ102,AJ103,AJ104,AJ105,AJ106,AJ107,AJ108,AJ109,AJ110,AJ111,AJ112,AJ113,AJ114)</f>
        <v/>
      </c>
      <c r="AP44" s="23">
        <f>CONCATENATE(AP80,AP81,AP82,AP83,AP84,AP85,AP86,AP87,AP88,AP89,AP90,AP91,AP92,AP93,AP94,AP95,AP96,AP97,AP98,AP99,AP100,AP101,AP102,AP103,AP104,AP105,AP106,AP107,AP108,AP109,AP110,AP111,AP112,AP113,AP114)</f>
        <v/>
      </c>
      <c r="AV44" s="23">
        <f>CONCATENATE(AV80,AV81,AV82,AV83,AV84,AV85,AV86,AV87,AV88,AV89,AV90,AV91,AV92,AV93,AV94,AV95,AV96,AV97,AV98,AV99,AV100,AV101,AV102,AV103,AV104,AV105,AV106,AV107,AV108,AV109,AV110,AV111,AV112,AV113,AV114)</f>
        <v/>
      </c>
      <c r="BB44" s="23">
        <f>CONCATENATE(BB80,BB81,BB82,BB83,BB84,BB85,BB86,BB87,BB88,BB89,BB90,BB91,BB92,BB93,BB94,BB95,BB96,BB97,BB98,BB99,BB100,BB101,BB102,BB103,BB104,BB105,BB106,BB107,BB108,BB109,BB110,BB111,BB112,BB113,BB114)</f>
        <v/>
      </c>
    </row>
    <row r="46" spans="1:58">
      <c r="A46" s="2" t="s">
        <v>346</v>
      </c>
    </row>
    <row r="80" spans="12:54" ht="30" hidden="1" customHeight="1">
      <c r="L80" t="str">
        <f t="array" ref="L80:L114">IF(ISNUMBER(L7:L41)*(L7:L41&gt;=N7:N41)*(P7:P41&lt;&gt;""),P7:P41&amp;","&amp;TEXT(ROUNDUP(L7:L41/IF(ISNUMBER(N7:N41),N7:N41,1))*N7:N41,"##0")&amp;","&amp;SUBSTITUTE(SUBSTITUTE(IF(PURCHASE_DESCRIPTION&lt;&gt;"",PURCHASE_DESCRIPTION&amp;":","")&amp;A7:A41,",",";"),"
"," ")&amp;CHAR(10),"")</f>
        <v/>
      </c>
      <c r="R80" t="str">
        <f t="array" ref="R80:R114">IF(ISNUMBER(R7:R41)*(R7:R41&gt;=T7:T41)*(V7:V41&lt;&gt;""),TEXT(ROUNDUP(R7:R41/IF(ISNUMBER(T7:T41),T7:T41,1))*T7:T41,"##0")&amp;","&amp;V7:V41&amp;","&amp;SUBSTITUTE(SUBSTITUTE(IF(PURCHASE_DESCRIPTION&lt;&gt;"",PURCHASE_DESCRIPTION&amp;":","")&amp;A7:A41,",",";"),"
"," ")&amp;CHAR(10),"")</f>
        <v/>
      </c>
      <c r="X80" t="str">
        <f t="array" ref="X80:X114">IF(ISNUMBER(X7:X41)*(X7:X41&gt;=Z7:Z41)*(AB7:AB41&lt;&gt;""),AB7:AB41&amp;","&amp;TEXT(ROUNDUP(X7:X41/IF(ISNUMBER(Z7:Z41),Z7:Z41,1))*Z7:Z41,"##0")&amp;","&amp;LEFT(SUBSTITUTE(SUBSTITUTE(IF(PURCHASE_DESCRIPTION&lt;&gt;"",PURCHASE_DESCRIPTION&amp;":","")&amp;C7:C41,",",";"),"
"," "),30)&amp;","&amp;LEFT(SUBSTITUTE(SUBSTITUTE(IF(PURCHASE_DESCRIPTION&lt;&gt;"",PURCHASE_DESCRIPTION&amp;":","")&amp;A7:A41,",",";"),"
"," "),30)&amp;CHAR(10),"")</f>
        <v/>
      </c>
      <c r="AD80" t="str">
        <f t="array" ref="AD80:AD114">IF(ISNUMBER(AD7:AD41)*(AD7:AD41&gt;=AF7:AF41)*(AH7:AH41&lt;&gt;""),TEXT(ROUNDUP(AD7:AD41/IF(ISNUMBER(AF7:AF41),AF7:AF41,1))*AF7:AF41,"##0")&amp;","&amp;SUBSTITUTE(SUBSTITUTE(IF(PURCHASE_DESCRIPTION&lt;&gt;"",PURCHASE_DESCRIPTION&amp;":","")&amp;A7:A41,",",";"),"
"," ")&amp;","&amp;SUBSTITUTE(SUBSTITUTE(IF(PURCHASE_DESCRIPTION&lt;&gt;"",PURCHASE_DESCRIPTION&amp;":","")&amp;E7:E41,",",";"),"
"," ")&amp;","&amp;AH7:AH41&amp;CHAR(10),"")</f>
        <v/>
      </c>
      <c r="AJ80" t="str">
        <f t="array" ref="AJ80:AJ114">IF(ISNUMBER(AJ7:AJ41)*(AJ7:AJ41&gt;=AL7:AL41)*(AN7:AN41&lt;&gt;""),AN7:AN41&amp;"|"&amp;TEXT(ROUNDUP(AJ7:AJ41/IF(ISNUMBER(AL7:AL41),AL7:AL41,1))*AL7:AL41,"##0")&amp;"|"&amp;SUBSTITUTE(SUBSTITUTE(SUBSTITUTE(IF(PURCHASE_DESCRIPTION&lt;&gt;"",PURCHASE_DESCRIPTION&amp;":","")&amp;A7:A41,"|",";")," ","_"),"
","_")&amp;CHAR(10),"")</f>
        <v/>
      </c>
      <c r="AP80" t="str">
        <f t="array" ref="AP80:AP114">IF(ISNUMBER(AP7:AP41)*(AP7:AP41&gt;=AR7:AR41)*(AT7:AT41&lt;&gt;""),AT7:AT41&amp;","&amp;TEXT(ROUNDUP(AP7:AP41/IF(ISNUMBER(AR7:AR41),AR7:AR41,1))*AR7:AR41,"##0")&amp;","&amp;SUBSTITUTE(SUBSTITUTE(IF(PURCHASE_DESCRIPTION&lt;&gt;"",PURCHASE_DESCRIPTION&amp;":","")&amp;A7:A41,",",";"),"
"," ")&amp;","&amp;SUBSTITUTE(SUBSTITUTE(IF(PURCHASE_DESCRIPTION&lt;&gt;"",PURCHASE_DESCRIPTION&amp;":","")&amp;C7:C41,",",";"),"
"," ")&amp;CHAR(10),"")</f>
        <v/>
      </c>
      <c r="AV80" t="str">
        <f t="array" ref="AV80:AV114">IF(ISNUMBER(AV7:AV41)*(AV7:AV41&gt;=AX7:AX41)*(AZ7:AZ41&lt;&gt;""),AZ7:AZ41&amp;","&amp;TEXT(ROUNDUP(AV7:AV41/IF(ISNUMBER(AX7:AX41),AX7:AX41,1))*AX7:AX41,"##0")&amp;","&amp;""&amp;","&amp;""&amp;","&amp;""&amp;","&amp;G7:G41&amp;","&amp;SUBSTITUTE(SUBSTITUTE(IF(PURCHASE_DESCRIPTION&lt;&gt;"",PURCHASE_DESCRIPTION&amp;":","")&amp;A7:A41,",",";"),"
"," ")&amp;CHAR(10),"")</f>
        <v/>
      </c>
      <c r="BB80" t="str">
        <f t="array" ref="BB80:BB114">IF(ISNUMBER(BB7:BB41)*(BB7:BB41&gt;=BD7:BD41)*(BF7:BF41&lt;&gt;""),BF7:BF41&amp;" "&amp;TEXT(ROUNDUP(BB7:BB41/IF(ISNUMBER(BD7:BD41),BD7:BD41,1))*BD7:BD41,"##0")&amp;" "&amp;SUBSTITUTE(SUBSTITUTE(IF(PURCHASE_DESCRIPTION&lt;&gt;"",PURCHASE_DESCRIPTION&amp;":","")&amp;A7:A41," ",";"),"
",";")&amp;CHAR(10),"")</f>
        <v/>
      </c>
    </row>
    <row r="81" spans="12:54" ht="30" hidden="1" customHeight="1">
      <c r="L81">
        <v>0</v>
      </c>
      <c r="R81">
        <v>0</v>
      </c>
      <c r="X81">
        <v>0</v>
      </c>
      <c r="AD81">
        <v>0</v>
      </c>
      <c r="AJ81">
        <v>0</v>
      </c>
      <c r="AP81">
        <v>0</v>
      </c>
      <c r="AV81">
        <v>0</v>
      </c>
      <c r="BB81">
        <v>0</v>
      </c>
    </row>
    <row r="82" spans="12:54" ht="30" hidden="1" customHeight="1">
      <c r="L82">
        <v>0</v>
      </c>
      <c r="R82">
        <v>0</v>
      </c>
      <c r="X82">
        <v>0</v>
      </c>
      <c r="AD82">
        <v>0</v>
      </c>
      <c r="AJ82">
        <v>0</v>
      </c>
      <c r="AP82">
        <v>0</v>
      </c>
      <c r="AV82">
        <v>0</v>
      </c>
      <c r="BB82">
        <v>0</v>
      </c>
    </row>
    <row r="83" spans="12:54" ht="30" hidden="1" customHeight="1">
      <c r="L83">
        <v>0</v>
      </c>
      <c r="R83">
        <v>0</v>
      </c>
      <c r="X83">
        <v>0</v>
      </c>
      <c r="AD83">
        <v>0</v>
      </c>
      <c r="AJ83">
        <v>0</v>
      </c>
      <c r="AP83">
        <v>0</v>
      </c>
      <c r="AV83">
        <v>0</v>
      </c>
      <c r="BB83">
        <v>0</v>
      </c>
    </row>
    <row r="84" spans="12:54" ht="30" hidden="1" customHeight="1">
      <c r="L84">
        <v>0</v>
      </c>
      <c r="R84">
        <v>0</v>
      </c>
      <c r="X84">
        <v>0</v>
      </c>
      <c r="AD84">
        <v>0</v>
      </c>
      <c r="AJ84">
        <v>0</v>
      </c>
      <c r="AP84">
        <v>0</v>
      </c>
      <c r="AV84">
        <v>0</v>
      </c>
      <c r="BB84">
        <v>0</v>
      </c>
    </row>
    <row r="85" spans="12:54" ht="30" hidden="1" customHeight="1">
      <c r="L85">
        <v>0</v>
      </c>
      <c r="R85">
        <v>0</v>
      </c>
      <c r="X85">
        <v>0</v>
      </c>
      <c r="AD85">
        <v>0</v>
      </c>
      <c r="AJ85">
        <v>0</v>
      </c>
      <c r="AP85">
        <v>0</v>
      </c>
      <c r="AV85">
        <v>0</v>
      </c>
      <c r="BB85">
        <v>0</v>
      </c>
    </row>
    <row r="86" spans="12:54" ht="30" hidden="1" customHeight="1">
      <c r="L86">
        <v>0</v>
      </c>
      <c r="R86">
        <v>0</v>
      </c>
      <c r="X86">
        <v>0</v>
      </c>
      <c r="AD86">
        <v>0</v>
      </c>
      <c r="AJ86">
        <v>0</v>
      </c>
      <c r="AP86">
        <v>0</v>
      </c>
      <c r="AV86">
        <v>0</v>
      </c>
      <c r="BB86">
        <v>0</v>
      </c>
    </row>
    <row r="87" spans="12:54" ht="30" hidden="1" customHeight="1">
      <c r="L87">
        <v>0</v>
      </c>
      <c r="R87">
        <v>0</v>
      </c>
      <c r="X87">
        <v>0</v>
      </c>
      <c r="AD87">
        <v>0</v>
      </c>
      <c r="AJ87">
        <v>0</v>
      </c>
      <c r="AP87">
        <v>0</v>
      </c>
      <c r="AV87">
        <v>0</v>
      </c>
      <c r="BB87">
        <v>0</v>
      </c>
    </row>
    <row r="88" spans="12:54" ht="30" hidden="1" customHeight="1">
      <c r="L88">
        <v>0</v>
      </c>
      <c r="R88">
        <v>0</v>
      </c>
      <c r="X88">
        <v>0</v>
      </c>
      <c r="AD88">
        <v>0</v>
      </c>
      <c r="AJ88">
        <v>0</v>
      </c>
      <c r="AP88">
        <v>0</v>
      </c>
      <c r="AV88">
        <v>0</v>
      </c>
      <c r="BB88">
        <v>0</v>
      </c>
    </row>
    <row r="89" spans="12:54" ht="30" hidden="1" customHeight="1">
      <c r="L89">
        <v>0</v>
      </c>
      <c r="R89">
        <v>0</v>
      </c>
      <c r="X89">
        <v>0</v>
      </c>
      <c r="AD89">
        <v>0</v>
      </c>
      <c r="AJ89">
        <v>0</v>
      </c>
      <c r="AP89">
        <v>0</v>
      </c>
      <c r="AV89">
        <v>0</v>
      </c>
      <c r="BB89">
        <v>0</v>
      </c>
    </row>
    <row r="90" spans="12:54" ht="30" hidden="1" customHeight="1">
      <c r="L90">
        <v>0</v>
      </c>
      <c r="R90">
        <v>0</v>
      </c>
      <c r="X90">
        <v>0</v>
      </c>
      <c r="AD90">
        <v>0</v>
      </c>
      <c r="AJ90">
        <v>0</v>
      </c>
      <c r="AP90">
        <v>0</v>
      </c>
      <c r="AV90">
        <v>0</v>
      </c>
      <c r="BB90">
        <v>0</v>
      </c>
    </row>
    <row r="91" spans="12:54" ht="30" hidden="1" customHeight="1">
      <c r="L91">
        <v>0</v>
      </c>
      <c r="R91">
        <v>0</v>
      </c>
      <c r="X91">
        <v>0</v>
      </c>
      <c r="AD91">
        <v>0</v>
      </c>
      <c r="AJ91">
        <v>0</v>
      </c>
      <c r="AP91">
        <v>0</v>
      </c>
      <c r="AV91">
        <v>0</v>
      </c>
      <c r="BB91">
        <v>0</v>
      </c>
    </row>
    <row r="92" spans="12:54" ht="30" hidden="1" customHeight="1">
      <c r="L92">
        <v>0</v>
      </c>
      <c r="R92">
        <v>0</v>
      </c>
      <c r="X92">
        <v>0</v>
      </c>
      <c r="AD92">
        <v>0</v>
      </c>
      <c r="AJ92">
        <v>0</v>
      </c>
      <c r="AP92">
        <v>0</v>
      </c>
      <c r="AV92">
        <v>0</v>
      </c>
      <c r="BB92">
        <v>0</v>
      </c>
    </row>
    <row r="93" spans="12:54" ht="30" hidden="1" customHeight="1">
      <c r="L93">
        <v>0</v>
      </c>
      <c r="R93">
        <v>0</v>
      </c>
      <c r="X93">
        <v>0</v>
      </c>
      <c r="AD93">
        <v>0</v>
      </c>
      <c r="AJ93">
        <v>0</v>
      </c>
      <c r="AP93">
        <v>0</v>
      </c>
      <c r="AV93">
        <v>0</v>
      </c>
      <c r="BB93">
        <v>0</v>
      </c>
    </row>
    <row r="94" spans="12:54" ht="30" hidden="1" customHeight="1">
      <c r="L94">
        <v>0</v>
      </c>
      <c r="R94">
        <v>0</v>
      </c>
      <c r="X94">
        <v>0</v>
      </c>
      <c r="AD94">
        <v>0</v>
      </c>
      <c r="AJ94">
        <v>0</v>
      </c>
      <c r="AP94">
        <v>0</v>
      </c>
      <c r="AV94">
        <v>0</v>
      </c>
      <c r="BB94">
        <v>0</v>
      </c>
    </row>
    <row r="95" spans="12:54" ht="30" hidden="1" customHeight="1">
      <c r="L95">
        <v>0</v>
      </c>
      <c r="R95">
        <v>0</v>
      </c>
      <c r="X95">
        <v>0</v>
      </c>
      <c r="AD95">
        <v>0</v>
      </c>
      <c r="AJ95">
        <v>0</v>
      </c>
      <c r="AP95">
        <v>0</v>
      </c>
      <c r="AV95">
        <v>0</v>
      </c>
      <c r="BB95">
        <v>0</v>
      </c>
    </row>
    <row r="96" spans="12:54" ht="30" hidden="1" customHeight="1">
      <c r="L96">
        <v>0</v>
      </c>
      <c r="R96">
        <v>0</v>
      </c>
      <c r="X96">
        <v>0</v>
      </c>
      <c r="AD96">
        <v>0</v>
      </c>
      <c r="AJ96">
        <v>0</v>
      </c>
      <c r="AP96">
        <v>0</v>
      </c>
      <c r="AV96">
        <v>0</v>
      </c>
      <c r="BB96">
        <v>0</v>
      </c>
    </row>
    <row r="97" spans="12:54" ht="30" hidden="1" customHeight="1">
      <c r="L97">
        <v>0</v>
      </c>
      <c r="R97">
        <v>0</v>
      </c>
      <c r="X97">
        <v>0</v>
      </c>
      <c r="AD97">
        <v>0</v>
      </c>
      <c r="AJ97">
        <v>0</v>
      </c>
      <c r="AP97">
        <v>0</v>
      </c>
      <c r="AV97">
        <v>0</v>
      </c>
      <c r="BB97">
        <v>0</v>
      </c>
    </row>
    <row r="98" spans="12:54" ht="30" hidden="1" customHeight="1">
      <c r="L98">
        <v>0</v>
      </c>
      <c r="R98">
        <v>0</v>
      </c>
      <c r="X98">
        <v>0</v>
      </c>
      <c r="AD98">
        <v>0</v>
      </c>
      <c r="AJ98">
        <v>0</v>
      </c>
      <c r="AP98">
        <v>0</v>
      </c>
      <c r="AV98">
        <v>0</v>
      </c>
      <c r="BB98">
        <v>0</v>
      </c>
    </row>
    <row r="99" spans="12:54" ht="30" hidden="1" customHeight="1">
      <c r="L99">
        <v>0</v>
      </c>
      <c r="R99">
        <v>0</v>
      </c>
      <c r="X99">
        <v>0</v>
      </c>
      <c r="AD99">
        <v>0</v>
      </c>
      <c r="AJ99">
        <v>0</v>
      </c>
      <c r="AP99">
        <v>0</v>
      </c>
      <c r="AV99">
        <v>0</v>
      </c>
      <c r="BB99">
        <v>0</v>
      </c>
    </row>
    <row r="100" spans="12:54" ht="30" hidden="1" customHeight="1">
      <c r="L100">
        <v>0</v>
      </c>
      <c r="R100">
        <v>0</v>
      </c>
      <c r="X100">
        <v>0</v>
      </c>
      <c r="AD100">
        <v>0</v>
      </c>
      <c r="AJ100">
        <v>0</v>
      </c>
      <c r="AP100">
        <v>0</v>
      </c>
      <c r="AV100">
        <v>0</v>
      </c>
      <c r="BB100">
        <v>0</v>
      </c>
    </row>
    <row r="101" spans="12:54" ht="30" hidden="1" customHeight="1">
      <c r="L101">
        <v>0</v>
      </c>
      <c r="R101">
        <v>0</v>
      </c>
      <c r="X101">
        <v>0</v>
      </c>
      <c r="AD101">
        <v>0</v>
      </c>
      <c r="AJ101">
        <v>0</v>
      </c>
      <c r="AP101">
        <v>0</v>
      </c>
      <c r="AV101">
        <v>0</v>
      </c>
      <c r="BB101">
        <v>0</v>
      </c>
    </row>
    <row r="102" spans="12:54" ht="30" hidden="1" customHeight="1">
      <c r="L102">
        <v>0</v>
      </c>
      <c r="R102">
        <v>0</v>
      </c>
      <c r="X102">
        <v>0</v>
      </c>
      <c r="AD102">
        <v>0</v>
      </c>
      <c r="AJ102">
        <v>0</v>
      </c>
      <c r="AP102">
        <v>0</v>
      </c>
      <c r="AV102">
        <v>0</v>
      </c>
      <c r="BB102">
        <v>0</v>
      </c>
    </row>
    <row r="103" spans="12:54" ht="30" hidden="1" customHeight="1">
      <c r="L103">
        <v>0</v>
      </c>
      <c r="R103">
        <v>0</v>
      </c>
      <c r="X103">
        <v>0</v>
      </c>
      <c r="AD103">
        <v>0</v>
      </c>
      <c r="AJ103">
        <v>0</v>
      </c>
      <c r="AP103">
        <v>0</v>
      </c>
      <c r="AV103">
        <v>0</v>
      </c>
      <c r="BB103">
        <v>0</v>
      </c>
    </row>
    <row r="104" spans="12:54" ht="30" hidden="1" customHeight="1">
      <c r="L104">
        <v>0</v>
      </c>
      <c r="R104">
        <v>0</v>
      </c>
      <c r="X104">
        <v>0</v>
      </c>
      <c r="AD104">
        <v>0</v>
      </c>
      <c r="AJ104">
        <v>0</v>
      </c>
      <c r="AP104">
        <v>0</v>
      </c>
      <c r="AV104">
        <v>0</v>
      </c>
      <c r="BB104">
        <v>0</v>
      </c>
    </row>
    <row r="105" spans="12:54" ht="30" hidden="1" customHeight="1">
      <c r="L105">
        <v>0</v>
      </c>
      <c r="R105">
        <v>0</v>
      </c>
      <c r="X105">
        <v>0</v>
      </c>
      <c r="AD105">
        <v>0</v>
      </c>
      <c r="AJ105">
        <v>0</v>
      </c>
      <c r="AP105">
        <v>0</v>
      </c>
      <c r="AV105">
        <v>0</v>
      </c>
      <c r="BB105">
        <v>0</v>
      </c>
    </row>
    <row r="106" spans="12:54" ht="30" hidden="1" customHeight="1">
      <c r="L106">
        <v>0</v>
      </c>
      <c r="R106">
        <v>0</v>
      </c>
      <c r="X106">
        <v>0</v>
      </c>
      <c r="AD106">
        <v>0</v>
      </c>
      <c r="AJ106">
        <v>0</v>
      </c>
      <c r="AP106">
        <v>0</v>
      </c>
      <c r="AV106">
        <v>0</v>
      </c>
      <c r="BB106">
        <v>0</v>
      </c>
    </row>
    <row r="107" spans="12:54" ht="30" hidden="1" customHeight="1">
      <c r="L107">
        <v>0</v>
      </c>
      <c r="R107">
        <v>0</v>
      </c>
      <c r="X107">
        <v>0</v>
      </c>
      <c r="AD107">
        <v>0</v>
      </c>
      <c r="AJ107">
        <v>0</v>
      </c>
      <c r="AP107">
        <v>0</v>
      </c>
      <c r="AV107">
        <v>0</v>
      </c>
      <c r="BB107">
        <v>0</v>
      </c>
    </row>
    <row r="108" spans="12:54" ht="30" hidden="1" customHeight="1">
      <c r="L108">
        <v>0</v>
      </c>
      <c r="R108">
        <v>0</v>
      </c>
      <c r="X108">
        <v>0</v>
      </c>
      <c r="AD108">
        <v>0</v>
      </c>
      <c r="AJ108">
        <v>0</v>
      </c>
      <c r="AP108">
        <v>0</v>
      </c>
      <c r="AV108">
        <v>0</v>
      </c>
      <c r="BB108">
        <v>0</v>
      </c>
    </row>
    <row r="109" spans="12:54" ht="30" hidden="1" customHeight="1">
      <c r="L109">
        <v>0</v>
      </c>
      <c r="R109">
        <v>0</v>
      </c>
      <c r="X109">
        <v>0</v>
      </c>
      <c r="AD109">
        <v>0</v>
      </c>
      <c r="AJ109">
        <v>0</v>
      </c>
      <c r="AP109">
        <v>0</v>
      </c>
      <c r="AV109">
        <v>0</v>
      </c>
      <c r="BB109">
        <v>0</v>
      </c>
    </row>
    <row r="110" spans="12:54" ht="30" hidden="1" customHeight="1">
      <c r="L110">
        <v>0</v>
      </c>
      <c r="R110">
        <v>0</v>
      </c>
      <c r="X110">
        <v>0</v>
      </c>
      <c r="AD110">
        <v>0</v>
      </c>
      <c r="AJ110">
        <v>0</v>
      </c>
      <c r="AP110">
        <v>0</v>
      </c>
      <c r="AV110">
        <v>0</v>
      </c>
      <c r="BB110">
        <v>0</v>
      </c>
    </row>
    <row r="111" spans="12:54" ht="30" hidden="1" customHeight="1">
      <c r="L111">
        <v>0</v>
      </c>
      <c r="R111">
        <v>0</v>
      </c>
      <c r="X111">
        <v>0</v>
      </c>
      <c r="AD111">
        <v>0</v>
      </c>
      <c r="AJ111">
        <v>0</v>
      </c>
      <c r="AP111">
        <v>0</v>
      </c>
      <c r="AV111">
        <v>0</v>
      </c>
      <c r="BB111">
        <v>0</v>
      </c>
    </row>
    <row r="112" spans="12:54" ht="30" hidden="1" customHeight="1">
      <c r="L112">
        <v>0</v>
      </c>
      <c r="R112">
        <v>0</v>
      </c>
      <c r="X112">
        <v>0</v>
      </c>
      <c r="AD112">
        <v>0</v>
      </c>
      <c r="AJ112">
        <v>0</v>
      </c>
      <c r="AP112">
        <v>0</v>
      </c>
      <c r="AV112">
        <v>0</v>
      </c>
      <c r="BB112">
        <v>0</v>
      </c>
    </row>
    <row r="113" spans="12:54" ht="30" hidden="1" customHeight="1">
      <c r="L113">
        <v>0</v>
      </c>
      <c r="R113">
        <v>0</v>
      </c>
      <c r="X113">
        <v>0</v>
      </c>
      <c r="AD113">
        <v>0</v>
      </c>
      <c r="AJ113">
        <v>0</v>
      </c>
      <c r="AP113">
        <v>0</v>
      </c>
      <c r="AV113">
        <v>0</v>
      </c>
      <c r="BB113">
        <v>0</v>
      </c>
    </row>
    <row r="114" spans="12:54" ht="30" hidden="1" customHeight="1">
      <c r="L114">
        <v>0</v>
      </c>
      <c r="R114">
        <v>0</v>
      </c>
      <c r="X114">
        <v>0</v>
      </c>
      <c r="AD114">
        <v>0</v>
      </c>
      <c r="AJ114">
        <v>0</v>
      </c>
      <c r="AP114">
        <v>0</v>
      </c>
      <c r="AV114">
        <v>0</v>
      </c>
      <c r="BB114">
        <v>0</v>
      </c>
    </row>
    <row r="115" spans="12:54" ht="30" hidden="1" customHeight="1">
      <c r="AD115">
        <f>IFERROR(IF(COUNTIFS(AD7:AD41,"&gt;0",AG7:AG41,"&lt;&gt;")&gt;0,"Quantity,Comment,Designator,Footprint,LCSC Part #(optional)"&amp;CHAR(10),""),"")</f>
        <v/>
      </c>
    </row>
  </sheetData>
  <mergeCells count="17">
    <mergeCell ref="A5:J5"/>
    <mergeCell ref="K5:P5"/>
    <mergeCell ref="L44:O79"/>
    <mergeCell ref="Q5:V5"/>
    <mergeCell ref="R44:U79"/>
    <mergeCell ref="W5:AB5"/>
    <mergeCell ref="X44:AA79"/>
    <mergeCell ref="AC5:AH5"/>
    <mergeCell ref="AD44:AG79"/>
    <mergeCell ref="AI5:AN5"/>
    <mergeCell ref="AJ44:AM79"/>
    <mergeCell ref="AO5:AT5"/>
    <mergeCell ref="AP44:AS79"/>
    <mergeCell ref="AU5:AZ5"/>
    <mergeCell ref="AV44:AY79"/>
    <mergeCell ref="BA5:BF5"/>
    <mergeCell ref="BB44:BE79"/>
  </mergeCells>
  <conditionalFormatting sqref="AA10">
    <cfRule type="cellIs" dxfId="2" priority="199" operator="lessThanOrEqual">
      <formula>J10</formula>
    </cfRule>
  </conditionalFormatting>
  <conditionalFormatting sqref="AA11">
    <cfRule type="cellIs" dxfId="2" priority="204" operator="lessThanOrEqual">
      <formula>J11</formula>
    </cfRule>
  </conditionalFormatting>
  <conditionalFormatting sqref="AA12">
    <cfRule type="cellIs" dxfId="2" priority="209" operator="lessThanOrEqual">
      <formula>J12</formula>
    </cfRule>
  </conditionalFormatting>
  <conditionalFormatting sqref="AA13">
    <cfRule type="cellIs" dxfId="2" priority="214" operator="lessThanOrEqual">
      <formula>J13</formula>
    </cfRule>
    <cfRule type="expression" dxfId="3" priority="218">
      <formula>AND(H13&lt;4000,X13&lt;4000)</formula>
    </cfRule>
  </conditionalFormatting>
  <conditionalFormatting sqref="AA14">
    <cfRule type="cellIs" dxfId="2" priority="221" operator="lessThanOrEqual">
      <formula>J14</formula>
    </cfRule>
  </conditionalFormatting>
  <conditionalFormatting sqref="AA20">
    <cfRule type="cellIs" dxfId="2" priority="226" operator="lessThanOrEqual">
      <formula>J20</formula>
    </cfRule>
    <cfRule type="expression" dxfId="3" priority="230">
      <formula>AND(H20&lt;30000,X20&lt;30000)</formula>
    </cfRule>
  </conditionalFormatting>
  <conditionalFormatting sqref="AA21">
    <cfRule type="cellIs" dxfId="2" priority="234" operator="lessThanOrEqual">
      <formula>J21</formula>
    </cfRule>
    <cfRule type="expression" dxfId="3" priority="238">
      <formula>AND(H21&lt;30000,X21&lt;30000)</formula>
    </cfRule>
  </conditionalFormatting>
  <conditionalFormatting sqref="AA22">
    <cfRule type="cellIs" dxfId="2" priority="242" operator="lessThanOrEqual">
      <formula>J22</formula>
    </cfRule>
  </conditionalFormatting>
  <conditionalFormatting sqref="AA23">
    <cfRule type="cellIs" dxfId="2" priority="247" operator="lessThanOrEqual">
      <formula>J23</formula>
    </cfRule>
  </conditionalFormatting>
  <conditionalFormatting sqref="AA24">
    <cfRule type="cellIs" dxfId="2" priority="252" operator="lessThanOrEqual">
      <formula>J24</formula>
    </cfRule>
  </conditionalFormatting>
  <conditionalFormatting sqref="AA25">
    <cfRule type="cellIs" dxfId="2" priority="257" operator="lessThanOrEqual">
      <formula>J25</formula>
    </cfRule>
    <cfRule type="expression" dxfId="3" priority="261">
      <formula>AND(H25&lt;30000,X25&lt;30000)</formula>
    </cfRule>
  </conditionalFormatting>
  <conditionalFormatting sqref="AA26">
    <cfRule type="cellIs" dxfId="2" priority="265" operator="lessThanOrEqual">
      <formula>J26</formula>
    </cfRule>
    <cfRule type="expression" dxfId="3" priority="269">
      <formula>AND(H26&lt;30000,X26&lt;30000)</formula>
    </cfRule>
  </conditionalFormatting>
  <conditionalFormatting sqref="AA27">
    <cfRule type="cellIs" dxfId="2" priority="273" operator="lessThanOrEqual">
      <formula>J27</formula>
    </cfRule>
  </conditionalFormatting>
  <conditionalFormatting sqref="AA28">
    <cfRule type="cellIs" dxfId="2" priority="278" operator="lessThanOrEqual">
      <formula>J28</formula>
    </cfRule>
  </conditionalFormatting>
  <conditionalFormatting sqref="AA29">
    <cfRule type="cellIs" dxfId="2" priority="283" operator="lessThanOrEqual">
      <formula>J29</formula>
    </cfRule>
  </conditionalFormatting>
  <conditionalFormatting sqref="AA31">
    <cfRule type="cellIs" dxfId="2" priority="288" operator="lessThanOrEqual">
      <formula>J31</formula>
    </cfRule>
  </conditionalFormatting>
  <conditionalFormatting sqref="AA32">
    <cfRule type="cellIs" dxfId="2" priority="293" operator="lessThanOrEqual">
      <formula>J32</formula>
    </cfRule>
  </conditionalFormatting>
  <conditionalFormatting sqref="AA35">
    <cfRule type="cellIs" dxfId="2" priority="297" operator="lessThanOrEqual">
      <formula>J35</formula>
    </cfRule>
  </conditionalFormatting>
  <conditionalFormatting sqref="AA36">
    <cfRule type="cellIs" dxfId="2" priority="302" operator="lessThanOrEqual">
      <formula>J36</formula>
    </cfRule>
  </conditionalFormatting>
  <conditionalFormatting sqref="AA37">
    <cfRule type="cellIs" dxfId="2" priority="306" operator="lessThanOrEqual">
      <formula>J37</formula>
    </cfRule>
  </conditionalFormatting>
  <conditionalFormatting sqref="AA40">
    <cfRule type="cellIs" dxfId="2" priority="310" operator="lessThanOrEqual">
      <formula>J40</formula>
    </cfRule>
  </conditionalFormatting>
  <conditionalFormatting sqref="AA41">
    <cfRule type="cellIs" dxfId="2" priority="315" operator="lessThanOrEqual">
      <formula>J41</formula>
    </cfRule>
  </conditionalFormatting>
  <conditionalFormatting sqref="AA7">
    <cfRule type="cellIs" dxfId="2" priority="184" operator="lessThanOrEqual">
      <formula>J7</formula>
    </cfRule>
  </conditionalFormatting>
  <conditionalFormatting sqref="AA8">
    <cfRule type="cellIs" dxfId="2" priority="189" operator="lessThanOrEqual">
      <formula>J8</formula>
    </cfRule>
  </conditionalFormatting>
  <conditionalFormatting sqref="AA9">
    <cfRule type="cellIs" dxfId="2" priority="194" operator="lessThanOrEqual">
      <formula>J9</formula>
    </cfRule>
  </conditionalFormatting>
  <conditionalFormatting sqref="AC10">
    <cfRule type="cellIs" dxfId="0" priority="332" operator="lessThan">
      <formula>H10</formula>
    </cfRule>
  </conditionalFormatting>
  <conditionalFormatting sqref="AC11">
    <cfRule type="cellIs" dxfId="0" priority="337" operator="lessThan">
      <formula>H11</formula>
    </cfRule>
  </conditionalFormatting>
  <conditionalFormatting sqref="AC19">
    <cfRule type="cellIs" dxfId="0" priority="342" operator="lessThan">
      <formula>H19</formula>
    </cfRule>
  </conditionalFormatting>
  <conditionalFormatting sqref="AC22">
    <cfRule type="cellIs" dxfId="0" priority="346" operator="lessThan">
      <formula>H22</formula>
    </cfRule>
  </conditionalFormatting>
  <conditionalFormatting sqref="AC23">
    <cfRule type="cellIs" dxfId="0" priority="351" operator="lessThan">
      <formula>H23</formula>
    </cfRule>
  </conditionalFormatting>
  <conditionalFormatting sqref="AC24">
    <cfRule type="cellIs" dxfId="0" priority="356" operator="lessThan">
      <formula>H24</formula>
    </cfRule>
  </conditionalFormatting>
  <conditionalFormatting sqref="AC26">
    <cfRule type="cellIs" dxfId="0" priority="361" operator="lessThan">
      <formula>H26</formula>
    </cfRule>
  </conditionalFormatting>
  <conditionalFormatting sqref="AC28">
    <cfRule type="cellIs" dxfId="0" priority="366" operator="lessThan">
      <formula>H28</formula>
    </cfRule>
  </conditionalFormatting>
  <conditionalFormatting sqref="AC29">
    <cfRule type="cellIs" dxfId="0" priority="371" operator="lessThan">
      <formula>H29</formula>
    </cfRule>
  </conditionalFormatting>
  <conditionalFormatting sqref="AC7">
    <cfRule type="cellIs" dxfId="0" priority="317" operator="lessThan">
      <formula>H7</formula>
    </cfRule>
  </conditionalFormatting>
  <conditionalFormatting sqref="AC8">
    <cfRule type="cellIs" dxfId="0" priority="322" operator="lessThan">
      <formula>H8</formula>
    </cfRule>
  </conditionalFormatting>
  <conditionalFormatting sqref="AC9">
    <cfRule type="cellIs" dxfId="0" priority="327" operator="lessThan">
      <formula>H9</formula>
    </cfRule>
  </conditionalFormatting>
  <conditionalFormatting sqref="AD10">
    <cfRule type="expression" dxfId="3" priority="333">
      <formula>AND(AD10&gt;0,MOD(AD10,AF10)&lt;&gt;0)</formula>
    </cfRule>
    <cfRule type="expression" dxfId="1" priority="334">
      <formula>AND(NOT(ISBLANK(AD10)),OR(AC10="NonStk",AD10&gt;AC10))</formula>
    </cfRule>
  </conditionalFormatting>
  <conditionalFormatting sqref="AD11">
    <cfRule type="expression" dxfId="3" priority="338">
      <formula>AND(AD11&gt;0,MOD(AD11,AF11)&lt;&gt;0)</formula>
    </cfRule>
    <cfRule type="expression" dxfId="1" priority="339">
      <formula>AND(NOT(ISBLANK(AD11)),OR(AC11="NonStk",AD11&gt;AC11))</formula>
    </cfRule>
  </conditionalFormatting>
  <conditionalFormatting sqref="AD19">
    <cfRule type="expression" dxfId="1" priority="343">
      <formula>AND(NOT(ISBLANK(AD19)),OR(AC19="NonStk",AD19&gt;AC19))</formula>
    </cfRule>
  </conditionalFormatting>
  <conditionalFormatting sqref="AD22">
    <cfRule type="expression" dxfId="3" priority="347">
      <formula>AND(AD22&gt;0,MOD(AD22,AF22)&lt;&gt;0)</formula>
    </cfRule>
    <cfRule type="expression" dxfId="1" priority="348">
      <formula>AND(NOT(ISBLANK(AD22)),OR(AC22="NonStk",AD22&gt;AC22))</formula>
    </cfRule>
  </conditionalFormatting>
  <conditionalFormatting sqref="AD23">
    <cfRule type="expression" dxfId="3" priority="352">
      <formula>AND(AD23&gt;0,MOD(AD23,AF23)&lt;&gt;0)</formula>
    </cfRule>
    <cfRule type="expression" dxfId="1" priority="353">
      <formula>AND(NOT(ISBLANK(AD23)),OR(AC23="NonStk",AD23&gt;AC23))</formula>
    </cfRule>
  </conditionalFormatting>
  <conditionalFormatting sqref="AD24">
    <cfRule type="expression" dxfId="3" priority="357">
      <formula>AND(AD24&gt;0,MOD(AD24,AF24)&lt;&gt;0)</formula>
    </cfRule>
    <cfRule type="expression" dxfId="1" priority="358">
      <formula>AND(NOT(ISBLANK(AD24)),OR(AC24="NonStk",AD24&gt;AC24))</formula>
    </cfRule>
  </conditionalFormatting>
  <conditionalFormatting sqref="AD26">
    <cfRule type="expression" dxfId="3" priority="362">
      <formula>AND(AD26&gt;0,MOD(AD26,AF26)&lt;&gt;0)</formula>
    </cfRule>
    <cfRule type="expression" dxfId="1" priority="363">
      <formula>AND(NOT(ISBLANK(AD26)),OR(AC26="NonStk",AD26&gt;AC26))</formula>
    </cfRule>
  </conditionalFormatting>
  <conditionalFormatting sqref="AD28">
    <cfRule type="expression" dxfId="3" priority="367">
      <formula>AND(AD28&gt;0,MOD(AD28,AF28)&lt;&gt;0)</formula>
    </cfRule>
    <cfRule type="expression" dxfId="1" priority="368">
      <formula>AND(NOT(ISBLANK(AD28)),OR(AC28="NonStk",AD28&gt;AC28))</formula>
    </cfRule>
  </conditionalFormatting>
  <conditionalFormatting sqref="AD29">
    <cfRule type="expression" dxfId="1" priority="372">
      <formula>AND(NOT(ISBLANK(AD29)),OR(AC29="NonStk",AD29&gt;AC29))</formula>
    </cfRule>
  </conditionalFormatting>
  <conditionalFormatting sqref="AD7">
    <cfRule type="expression" dxfId="3" priority="318">
      <formula>AND(AD7&gt;0,MOD(AD7,AF7)&lt;&gt;0)</formula>
    </cfRule>
    <cfRule type="expression" dxfId="1" priority="319">
      <formula>AND(NOT(ISBLANK(AD7)),OR(AC7="NonStk",AD7&gt;AC7))</formula>
    </cfRule>
  </conditionalFormatting>
  <conditionalFormatting sqref="AD8">
    <cfRule type="expression" dxfId="3" priority="323">
      <formula>AND(AD8&gt;0,MOD(AD8,AF8)&lt;&gt;0)</formula>
    </cfRule>
    <cfRule type="expression" dxfId="1" priority="324">
      <formula>AND(NOT(ISBLANK(AD8)),OR(AC8="NonStk",AD8&gt;AC8))</formula>
    </cfRule>
  </conditionalFormatting>
  <conditionalFormatting sqref="AD9">
    <cfRule type="expression" dxfId="3" priority="328">
      <formula>AND(AD9&gt;0,MOD(AD9,AF9)&lt;&gt;0)</formula>
    </cfRule>
    <cfRule type="expression" dxfId="1" priority="329">
      <formula>AND(NOT(ISBLANK(AD9)),OR(AC9="NonStk",AD9&gt;AC9))</formula>
    </cfRule>
  </conditionalFormatting>
  <conditionalFormatting sqref="AE10">
    <cfRule type="cellIs" dxfId="2" priority="336" operator="lessThanOrEqual">
      <formula>I10</formula>
    </cfRule>
  </conditionalFormatting>
  <conditionalFormatting sqref="AE11">
    <cfRule type="cellIs" dxfId="2" priority="341" operator="lessThanOrEqual">
      <formula>I11</formula>
    </cfRule>
  </conditionalFormatting>
  <conditionalFormatting sqref="AE19">
    <cfRule type="cellIs" dxfId="2" priority="345" operator="lessThanOrEqual">
      <formula>I19</formula>
    </cfRule>
  </conditionalFormatting>
  <conditionalFormatting sqref="AE22">
    <cfRule type="cellIs" dxfId="2" priority="350" operator="lessThanOrEqual">
      <formula>I22</formula>
    </cfRule>
  </conditionalFormatting>
  <conditionalFormatting sqref="AE23">
    <cfRule type="cellIs" dxfId="2" priority="355" operator="lessThanOrEqual">
      <formula>I23</formula>
    </cfRule>
  </conditionalFormatting>
  <conditionalFormatting sqref="AE24">
    <cfRule type="cellIs" dxfId="2" priority="360" operator="lessThanOrEqual">
      <formula>I24</formula>
    </cfRule>
  </conditionalFormatting>
  <conditionalFormatting sqref="AE26">
    <cfRule type="cellIs" dxfId="2" priority="365" operator="lessThanOrEqual">
      <formula>I26</formula>
    </cfRule>
  </conditionalFormatting>
  <conditionalFormatting sqref="AE28">
    <cfRule type="cellIs" dxfId="2" priority="370" operator="lessThanOrEqual">
      <formula>I28</formula>
    </cfRule>
  </conditionalFormatting>
  <conditionalFormatting sqref="AE29">
    <cfRule type="cellIs" dxfId="2" priority="374" operator="lessThanOrEqual">
      <formula>I29</formula>
    </cfRule>
  </conditionalFormatting>
  <conditionalFormatting sqref="AE7">
    <cfRule type="cellIs" dxfId="2" priority="321" operator="lessThanOrEqual">
      <formula>I7</formula>
    </cfRule>
  </conditionalFormatting>
  <conditionalFormatting sqref="AE8">
    <cfRule type="cellIs" dxfId="2" priority="326" operator="lessThanOrEqual">
      <formula>I8</formula>
    </cfRule>
  </conditionalFormatting>
  <conditionalFormatting sqref="AE9">
    <cfRule type="cellIs" dxfId="2" priority="331" operator="lessThanOrEqual">
      <formula>I9</formula>
    </cfRule>
  </conditionalFormatting>
  <conditionalFormatting sqref="AG10">
    <cfRule type="cellIs" dxfId="2" priority="335" operator="lessThanOrEqual">
      <formula>J10</formula>
    </cfRule>
  </conditionalFormatting>
  <conditionalFormatting sqref="AG11">
    <cfRule type="cellIs" dxfId="2" priority="340" operator="lessThanOrEqual">
      <formula>J11</formula>
    </cfRule>
  </conditionalFormatting>
  <conditionalFormatting sqref="AG19">
    <cfRule type="cellIs" dxfId="2" priority="344" operator="lessThanOrEqual">
      <formula>J19</formula>
    </cfRule>
  </conditionalFormatting>
  <conditionalFormatting sqref="AG22">
    <cfRule type="cellIs" dxfId="2" priority="349" operator="lessThanOrEqual">
      <formula>J22</formula>
    </cfRule>
  </conditionalFormatting>
  <conditionalFormatting sqref="AG23">
    <cfRule type="cellIs" dxfId="2" priority="354" operator="lessThanOrEqual">
      <formula>J23</formula>
    </cfRule>
  </conditionalFormatting>
  <conditionalFormatting sqref="AG24">
    <cfRule type="cellIs" dxfId="2" priority="359" operator="lessThanOrEqual">
      <formula>J24</formula>
    </cfRule>
  </conditionalFormatting>
  <conditionalFormatting sqref="AG26">
    <cfRule type="cellIs" dxfId="2" priority="364" operator="lessThanOrEqual">
      <formula>J26</formula>
    </cfRule>
  </conditionalFormatting>
  <conditionalFormatting sqref="AG28">
    <cfRule type="cellIs" dxfId="2" priority="369" operator="lessThanOrEqual">
      <formula>J28</formula>
    </cfRule>
  </conditionalFormatting>
  <conditionalFormatting sqref="AG29">
    <cfRule type="cellIs" dxfId="2" priority="373" operator="lessThanOrEqual">
      <formula>J29</formula>
    </cfRule>
  </conditionalFormatting>
  <conditionalFormatting sqref="AG7">
    <cfRule type="cellIs" dxfId="2" priority="320" operator="lessThanOrEqual">
      <formula>J7</formula>
    </cfRule>
  </conditionalFormatting>
  <conditionalFormatting sqref="AG8">
    <cfRule type="cellIs" dxfId="2" priority="325" operator="lessThanOrEqual">
      <formula>J8</formula>
    </cfRule>
  </conditionalFormatting>
  <conditionalFormatting sqref="AG9">
    <cfRule type="cellIs" dxfId="2" priority="330" operator="lessThanOrEqual">
      <formula>J9</formula>
    </cfRule>
  </conditionalFormatting>
  <conditionalFormatting sqref="AI10">
    <cfRule type="cellIs" dxfId="0" priority="387" operator="lessThan">
      <formula>H10</formula>
    </cfRule>
  </conditionalFormatting>
  <conditionalFormatting sqref="AI11">
    <cfRule type="cellIs" dxfId="0" priority="391" operator="lessThan">
      <formula>H11</formula>
    </cfRule>
  </conditionalFormatting>
  <conditionalFormatting sqref="AI12">
    <cfRule type="cellIs" dxfId="0" priority="395" operator="lessThan">
      <formula>H12</formula>
    </cfRule>
  </conditionalFormatting>
  <conditionalFormatting sqref="AI13">
    <cfRule type="cellIs" dxfId="0" priority="399" operator="lessThan">
      <formula>H13</formula>
    </cfRule>
  </conditionalFormatting>
  <conditionalFormatting sqref="AI14">
    <cfRule type="cellIs" dxfId="0" priority="403" operator="lessThan">
      <formula>H14</formula>
    </cfRule>
  </conditionalFormatting>
  <conditionalFormatting sqref="AI20">
    <cfRule type="cellIs" dxfId="0" priority="407" operator="lessThan">
      <formula>H20</formula>
    </cfRule>
  </conditionalFormatting>
  <conditionalFormatting sqref="AI21">
    <cfRule type="cellIs" dxfId="0" priority="411" operator="lessThan">
      <formula>H21</formula>
    </cfRule>
  </conditionalFormatting>
  <conditionalFormatting sqref="AI22">
    <cfRule type="cellIs" dxfId="0" priority="415" operator="lessThan">
      <formula>H22</formula>
    </cfRule>
  </conditionalFormatting>
  <conditionalFormatting sqref="AI23">
    <cfRule type="cellIs" dxfId="0" priority="419" operator="lessThan">
      <formula>H23</formula>
    </cfRule>
  </conditionalFormatting>
  <conditionalFormatting sqref="AI24">
    <cfRule type="cellIs" dxfId="0" priority="423" operator="lessThan">
      <formula>H24</formula>
    </cfRule>
  </conditionalFormatting>
  <conditionalFormatting sqref="AI25">
    <cfRule type="cellIs" dxfId="0" priority="427" operator="lessThan">
      <formula>H25</formula>
    </cfRule>
  </conditionalFormatting>
  <conditionalFormatting sqref="AI26">
    <cfRule type="cellIs" dxfId="0" priority="431" operator="lessThan">
      <formula>H26</formula>
    </cfRule>
  </conditionalFormatting>
  <conditionalFormatting sqref="AI27">
    <cfRule type="cellIs" dxfId="0" priority="435" operator="lessThan">
      <formula>H27</formula>
    </cfRule>
  </conditionalFormatting>
  <conditionalFormatting sqref="AI28">
    <cfRule type="cellIs" dxfId="0" priority="439" operator="lessThan">
      <formula>H28</formula>
    </cfRule>
  </conditionalFormatting>
  <conditionalFormatting sqref="AI29">
    <cfRule type="cellIs" dxfId="0" priority="443" operator="lessThan">
      <formula>H29</formula>
    </cfRule>
  </conditionalFormatting>
  <conditionalFormatting sqref="AI31">
    <cfRule type="cellIs" dxfId="0" priority="447" operator="lessThan">
      <formula>H31</formula>
    </cfRule>
  </conditionalFormatting>
  <conditionalFormatting sqref="AI32">
    <cfRule type="cellIs" dxfId="0" priority="451" operator="lessThan">
      <formula>H32</formula>
    </cfRule>
  </conditionalFormatting>
  <conditionalFormatting sqref="AI33">
    <cfRule type="cellIs" dxfId="0" priority="455" operator="lessThan">
      <formula>H33</formula>
    </cfRule>
  </conditionalFormatting>
  <conditionalFormatting sqref="AI34">
    <cfRule type="cellIs" dxfId="0" priority="459" operator="lessThan">
      <formula>H34</formula>
    </cfRule>
  </conditionalFormatting>
  <conditionalFormatting sqref="AI35">
    <cfRule type="cellIs" dxfId="0" priority="463" operator="lessThan">
      <formula>H35</formula>
    </cfRule>
  </conditionalFormatting>
  <conditionalFormatting sqref="AI36">
    <cfRule type="cellIs" dxfId="0" priority="467" operator="lessThan">
      <formula>H36</formula>
    </cfRule>
  </conditionalFormatting>
  <conditionalFormatting sqref="AI37">
    <cfRule type="cellIs" dxfId="0" priority="471" operator="lessThan">
      <formula>H37</formula>
    </cfRule>
  </conditionalFormatting>
  <conditionalFormatting sqref="AI40">
    <cfRule type="cellIs" dxfId="0" priority="475" operator="lessThan">
      <formula>H40</formula>
    </cfRule>
  </conditionalFormatting>
  <conditionalFormatting sqref="AI41">
    <cfRule type="cellIs" dxfId="0" priority="479" operator="lessThan">
      <formula>H41</formula>
    </cfRule>
  </conditionalFormatting>
  <conditionalFormatting sqref="AI7">
    <cfRule type="cellIs" dxfId="0" priority="375" operator="lessThan">
      <formula>H7</formula>
    </cfRule>
  </conditionalFormatting>
  <conditionalFormatting sqref="AI8">
    <cfRule type="cellIs" dxfId="0" priority="379" operator="lessThan">
      <formula>H8</formula>
    </cfRule>
  </conditionalFormatting>
  <conditionalFormatting sqref="AI9">
    <cfRule type="cellIs" dxfId="0" priority="383" operator="lessThan">
      <formula>H9</formula>
    </cfRule>
  </conditionalFormatting>
  <conditionalFormatting sqref="AJ10">
    <cfRule type="expression" dxfId="1" priority="388">
      <formula>AND(NOT(ISBLANK(AJ10)),OR(AI10="NonStk",AJ10&gt;AI10))</formula>
    </cfRule>
  </conditionalFormatting>
  <conditionalFormatting sqref="AJ11">
    <cfRule type="expression" dxfId="1" priority="392">
      <formula>AND(NOT(ISBLANK(AJ11)),OR(AI11="NonStk",AJ11&gt;AI11))</formula>
    </cfRule>
  </conditionalFormatting>
  <conditionalFormatting sqref="AJ12">
    <cfRule type="expression" dxfId="1" priority="396">
      <formula>AND(NOT(ISBLANK(AJ12)),OR(AI12="NonStk",AJ12&gt;AI12))</formula>
    </cfRule>
  </conditionalFormatting>
  <conditionalFormatting sqref="AJ13">
    <cfRule type="expression" dxfId="1" priority="400">
      <formula>AND(NOT(ISBLANK(AJ13)),OR(AI13="NonStk",AJ13&gt;AI13))</formula>
    </cfRule>
  </conditionalFormatting>
  <conditionalFormatting sqref="AJ14">
    <cfRule type="expression" dxfId="1" priority="404">
      <formula>AND(NOT(ISBLANK(AJ14)),OR(AI14="NonStk",AJ14&gt;AI14))</formula>
    </cfRule>
  </conditionalFormatting>
  <conditionalFormatting sqref="AJ20">
    <cfRule type="expression" dxfId="1" priority="408">
      <formula>AND(NOT(ISBLANK(AJ20)),OR(AI20="NonStk",AJ20&gt;AI20))</formula>
    </cfRule>
  </conditionalFormatting>
  <conditionalFormatting sqref="AJ21">
    <cfRule type="expression" dxfId="1" priority="412">
      <formula>AND(NOT(ISBLANK(AJ21)),OR(AI21="NonStk",AJ21&gt;AI21))</formula>
    </cfRule>
  </conditionalFormatting>
  <conditionalFormatting sqref="AJ22">
    <cfRule type="expression" dxfId="1" priority="416">
      <formula>AND(NOT(ISBLANK(AJ22)),OR(AI22="NonStk",AJ22&gt;AI22))</formula>
    </cfRule>
  </conditionalFormatting>
  <conditionalFormatting sqref="AJ23">
    <cfRule type="expression" dxfId="1" priority="420">
      <formula>AND(NOT(ISBLANK(AJ23)),OR(AI23="NonStk",AJ23&gt;AI23))</formula>
    </cfRule>
  </conditionalFormatting>
  <conditionalFormatting sqref="AJ24">
    <cfRule type="expression" dxfId="1" priority="424">
      <formula>AND(NOT(ISBLANK(AJ24)),OR(AI24="NonStk",AJ24&gt;AI24))</formula>
    </cfRule>
  </conditionalFormatting>
  <conditionalFormatting sqref="AJ25">
    <cfRule type="expression" dxfId="1" priority="428">
      <formula>AND(NOT(ISBLANK(AJ25)),OR(AI25="NonStk",AJ25&gt;AI25))</formula>
    </cfRule>
  </conditionalFormatting>
  <conditionalFormatting sqref="AJ26">
    <cfRule type="expression" dxfId="1" priority="432">
      <formula>AND(NOT(ISBLANK(AJ26)),OR(AI26="NonStk",AJ26&gt;AI26))</formula>
    </cfRule>
  </conditionalFormatting>
  <conditionalFormatting sqref="AJ27">
    <cfRule type="expression" dxfId="1" priority="436">
      <formula>AND(NOT(ISBLANK(AJ27)),OR(AI27="NonStk",AJ27&gt;AI27))</formula>
    </cfRule>
  </conditionalFormatting>
  <conditionalFormatting sqref="AJ28">
    <cfRule type="expression" dxfId="1" priority="440">
      <formula>AND(NOT(ISBLANK(AJ28)),OR(AI28="NonStk",AJ28&gt;AI28))</formula>
    </cfRule>
  </conditionalFormatting>
  <conditionalFormatting sqref="AJ29">
    <cfRule type="expression" dxfId="1" priority="444">
      <formula>AND(NOT(ISBLANK(AJ29)),OR(AI29="NonStk",AJ29&gt;AI29))</formula>
    </cfRule>
  </conditionalFormatting>
  <conditionalFormatting sqref="AJ31">
    <cfRule type="expression" dxfId="1" priority="448">
      <formula>AND(NOT(ISBLANK(AJ31)),OR(AI31="NonStk",AJ31&gt;AI31))</formula>
    </cfRule>
  </conditionalFormatting>
  <conditionalFormatting sqref="AJ32">
    <cfRule type="expression" dxfId="1" priority="452">
      <formula>AND(NOT(ISBLANK(AJ32)),OR(AI32="NonStk",AJ32&gt;AI32))</formula>
    </cfRule>
  </conditionalFormatting>
  <conditionalFormatting sqref="AJ33">
    <cfRule type="expression" dxfId="1" priority="456">
      <formula>AND(NOT(ISBLANK(AJ33)),OR(AI33="NonStk",AJ33&gt;AI33))</formula>
    </cfRule>
  </conditionalFormatting>
  <conditionalFormatting sqref="AJ34">
    <cfRule type="expression" dxfId="1" priority="460">
      <formula>AND(NOT(ISBLANK(AJ34)),OR(AI34="NonStk",AJ34&gt;AI34))</formula>
    </cfRule>
  </conditionalFormatting>
  <conditionalFormatting sqref="AJ35">
    <cfRule type="expression" dxfId="1" priority="464">
      <formula>AND(NOT(ISBLANK(AJ35)),OR(AI35="NonStk",AJ35&gt;AI35))</formula>
    </cfRule>
  </conditionalFormatting>
  <conditionalFormatting sqref="AJ36">
    <cfRule type="expression" dxfId="1" priority="468">
      <formula>AND(NOT(ISBLANK(AJ36)),OR(AI36="NonStk",AJ36&gt;AI36))</formula>
    </cfRule>
  </conditionalFormatting>
  <conditionalFormatting sqref="AJ37">
    <cfRule type="expression" dxfId="1" priority="472">
      <formula>AND(NOT(ISBLANK(AJ37)),OR(AI37="NonStk",AJ37&gt;AI37))</formula>
    </cfRule>
  </conditionalFormatting>
  <conditionalFormatting sqref="AJ40">
    <cfRule type="expression" dxfId="1" priority="476">
      <formula>AND(NOT(ISBLANK(AJ40)),OR(AI40="NonStk",AJ40&gt;AI40))</formula>
    </cfRule>
  </conditionalFormatting>
  <conditionalFormatting sqref="AJ41">
    <cfRule type="expression" dxfId="1" priority="480">
      <formula>AND(NOT(ISBLANK(AJ41)),OR(AI41="NonStk",AJ41&gt;AI41))</formula>
    </cfRule>
  </conditionalFormatting>
  <conditionalFormatting sqref="AJ7">
    <cfRule type="expression" dxfId="1" priority="376">
      <formula>AND(NOT(ISBLANK(AJ7)),OR(AI7="NonStk",AJ7&gt;AI7))</formula>
    </cfRule>
  </conditionalFormatting>
  <conditionalFormatting sqref="AJ8">
    <cfRule type="expression" dxfId="1" priority="380">
      <formula>AND(NOT(ISBLANK(AJ8)),OR(AI8="NonStk",AJ8&gt;AI8))</formula>
    </cfRule>
  </conditionalFormatting>
  <conditionalFormatting sqref="AJ9">
    <cfRule type="expression" dxfId="1" priority="384">
      <formula>AND(NOT(ISBLANK(AJ9)),OR(AI9="NonStk",AJ9&gt;AI9))</formula>
    </cfRule>
  </conditionalFormatting>
  <conditionalFormatting sqref="AK10">
    <cfRule type="cellIs" dxfId="2" priority="390" operator="lessThanOrEqual">
      <formula>I10</formula>
    </cfRule>
  </conditionalFormatting>
  <conditionalFormatting sqref="AK11">
    <cfRule type="cellIs" dxfId="2" priority="394" operator="lessThanOrEqual">
      <formula>I11</formula>
    </cfRule>
  </conditionalFormatting>
  <conditionalFormatting sqref="AK12">
    <cfRule type="cellIs" dxfId="2" priority="398" operator="lessThanOrEqual">
      <formula>I12</formula>
    </cfRule>
  </conditionalFormatting>
  <conditionalFormatting sqref="AK13">
    <cfRule type="cellIs" dxfId="2" priority="402" operator="lessThanOrEqual">
      <formula>I13</formula>
    </cfRule>
  </conditionalFormatting>
  <conditionalFormatting sqref="AK14">
    <cfRule type="cellIs" dxfId="2" priority="406" operator="lessThanOrEqual">
      <formula>I14</formula>
    </cfRule>
  </conditionalFormatting>
  <conditionalFormatting sqref="AK20">
    <cfRule type="cellIs" dxfId="2" priority="410" operator="lessThanOrEqual">
      <formula>I20</formula>
    </cfRule>
  </conditionalFormatting>
  <conditionalFormatting sqref="AK21">
    <cfRule type="cellIs" dxfId="2" priority="414" operator="lessThanOrEqual">
      <formula>I21</formula>
    </cfRule>
  </conditionalFormatting>
  <conditionalFormatting sqref="AK22">
    <cfRule type="cellIs" dxfId="2" priority="418" operator="lessThanOrEqual">
      <formula>I22</formula>
    </cfRule>
  </conditionalFormatting>
  <conditionalFormatting sqref="AK23">
    <cfRule type="cellIs" dxfId="2" priority="422" operator="lessThanOrEqual">
      <formula>I23</formula>
    </cfRule>
  </conditionalFormatting>
  <conditionalFormatting sqref="AK24">
    <cfRule type="cellIs" dxfId="2" priority="426" operator="lessThanOrEqual">
      <formula>I24</formula>
    </cfRule>
  </conditionalFormatting>
  <conditionalFormatting sqref="AK25">
    <cfRule type="cellIs" dxfId="2" priority="430" operator="lessThanOrEqual">
      <formula>I25</formula>
    </cfRule>
  </conditionalFormatting>
  <conditionalFormatting sqref="AK26">
    <cfRule type="cellIs" dxfId="2" priority="434" operator="lessThanOrEqual">
      <formula>I26</formula>
    </cfRule>
  </conditionalFormatting>
  <conditionalFormatting sqref="AK27">
    <cfRule type="cellIs" dxfId="2" priority="438" operator="lessThanOrEqual">
      <formula>I27</formula>
    </cfRule>
  </conditionalFormatting>
  <conditionalFormatting sqref="AK28">
    <cfRule type="cellIs" dxfId="2" priority="442" operator="lessThanOrEqual">
      <formula>I28</formula>
    </cfRule>
  </conditionalFormatting>
  <conditionalFormatting sqref="AK29">
    <cfRule type="cellIs" dxfId="2" priority="446" operator="lessThanOrEqual">
      <formula>I29</formula>
    </cfRule>
  </conditionalFormatting>
  <conditionalFormatting sqref="AK31">
    <cfRule type="cellIs" dxfId="2" priority="450" operator="lessThanOrEqual">
      <formula>I31</formula>
    </cfRule>
  </conditionalFormatting>
  <conditionalFormatting sqref="AK32">
    <cfRule type="cellIs" dxfId="2" priority="454" operator="lessThanOrEqual">
      <formula>I32</formula>
    </cfRule>
  </conditionalFormatting>
  <conditionalFormatting sqref="AK33">
    <cfRule type="cellIs" dxfId="2" priority="458" operator="lessThanOrEqual">
      <formula>I33</formula>
    </cfRule>
  </conditionalFormatting>
  <conditionalFormatting sqref="AK34">
    <cfRule type="cellIs" dxfId="2" priority="462" operator="lessThanOrEqual">
      <formula>I34</formula>
    </cfRule>
  </conditionalFormatting>
  <conditionalFormatting sqref="AK35">
    <cfRule type="cellIs" dxfId="2" priority="466" operator="lessThanOrEqual">
      <formula>I35</formula>
    </cfRule>
  </conditionalFormatting>
  <conditionalFormatting sqref="AK36">
    <cfRule type="cellIs" dxfId="2" priority="470" operator="lessThanOrEqual">
      <formula>I36</formula>
    </cfRule>
  </conditionalFormatting>
  <conditionalFormatting sqref="AK37">
    <cfRule type="cellIs" dxfId="2" priority="474" operator="lessThanOrEqual">
      <formula>I37</formula>
    </cfRule>
  </conditionalFormatting>
  <conditionalFormatting sqref="AK40">
    <cfRule type="cellIs" dxfId="2" priority="478" operator="lessThanOrEqual">
      <formula>I40</formula>
    </cfRule>
  </conditionalFormatting>
  <conditionalFormatting sqref="AK41">
    <cfRule type="cellIs" dxfId="2" priority="482" operator="lessThanOrEqual">
      <formula>I41</formula>
    </cfRule>
  </conditionalFormatting>
  <conditionalFormatting sqref="AK7">
    <cfRule type="cellIs" dxfId="2" priority="378" operator="lessThanOrEqual">
      <formula>I7</formula>
    </cfRule>
  </conditionalFormatting>
  <conditionalFormatting sqref="AK8">
    <cfRule type="cellIs" dxfId="2" priority="382" operator="lessThanOrEqual">
      <formula>I8</formula>
    </cfRule>
  </conditionalFormatting>
  <conditionalFormatting sqref="AK9">
    <cfRule type="cellIs" dxfId="2" priority="386" operator="lessThanOrEqual">
      <formula>I9</formula>
    </cfRule>
  </conditionalFormatting>
  <conditionalFormatting sqref="AM10">
    <cfRule type="cellIs" dxfId="2" priority="389" operator="lessThanOrEqual">
      <formula>J10</formula>
    </cfRule>
  </conditionalFormatting>
  <conditionalFormatting sqref="AM11">
    <cfRule type="cellIs" dxfId="2" priority="393" operator="lessThanOrEqual">
      <formula>J11</formula>
    </cfRule>
  </conditionalFormatting>
  <conditionalFormatting sqref="AM12">
    <cfRule type="cellIs" dxfId="2" priority="397" operator="lessThanOrEqual">
      <formula>J12</formula>
    </cfRule>
  </conditionalFormatting>
  <conditionalFormatting sqref="AM13">
    <cfRule type="cellIs" dxfId="2" priority="401" operator="lessThanOrEqual">
      <formula>J13</formula>
    </cfRule>
  </conditionalFormatting>
  <conditionalFormatting sqref="AM14">
    <cfRule type="cellIs" dxfId="2" priority="405" operator="lessThanOrEqual">
      <formula>J14</formula>
    </cfRule>
  </conditionalFormatting>
  <conditionalFormatting sqref="AM20">
    <cfRule type="cellIs" dxfId="2" priority="409" operator="lessThanOrEqual">
      <formula>J20</formula>
    </cfRule>
  </conditionalFormatting>
  <conditionalFormatting sqref="AM21">
    <cfRule type="cellIs" dxfId="2" priority="413" operator="lessThanOrEqual">
      <formula>J21</formula>
    </cfRule>
  </conditionalFormatting>
  <conditionalFormatting sqref="AM22">
    <cfRule type="cellIs" dxfId="2" priority="417" operator="lessThanOrEqual">
      <formula>J22</formula>
    </cfRule>
  </conditionalFormatting>
  <conditionalFormatting sqref="AM23">
    <cfRule type="cellIs" dxfId="2" priority="421" operator="lessThanOrEqual">
      <formula>J23</formula>
    </cfRule>
  </conditionalFormatting>
  <conditionalFormatting sqref="AM24">
    <cfRule type="cellIs" dxfId="2" priority="425" operator="lessThanOrEqual">
      <formula>J24</formula>
    </cfRule>
  </conditionalFormatting>
  <conditionalFormatting sqref="AM25">
    <cfRule type="cellIs" dxfId="2" priority="429" operator="lessThanOrEqual">
      <formula>J25</formula>
    </cfRule>
  </conditionalFormatting>
  <conditionalFormatting sqref="AM26">
    <cfRule type="cellIs" dxfId="2" priority="433" operator="lessThanOrEqual">
      <formula>J26</formula>
    </cfRule>
  </conditionalFormatting>
  <conditionalFormatting sqref="AM27">
    <cfRule type="cellIs" dxfId="2" priority="437" operator="lessThanOrEqual">
      <formula>J27</formula>
    </cfRule>
  </conditionalFormatting>
  <conditionalFormatting sqref="AM28">
    <cfRule type="cellIs" dxfId="2" priority="441" operator="lessThanOrEqual">
      <formula>J28</formula>
    </cfRule>
  </conditionalFormatting>
  <conditionalFormatting sqref="AM29">
    <cfRule type="cellIs" dxfId="2" priority="445" operator="lessThanOrEqual">
      <formula>J29</formula>
    </cfRule>
  </conditionalFormatting>
  <conditionalFormatting sqref="AM31">
    <cfRule type="cellIs" dxfId="2" priority="449" operator="lessThanOrEqual">
      <formula>J31</formula>
    </cfRule>
  </conditionalFormatting>
  <conditionalFormatting sqref="AM32">
    <cfRule type="cellIs" dxfId="2" priority="453" operator="lessThanOrEqual">
      <formula>J32</formula>
    </cfRule>
  </conditionalFormatting>
  <conditionalFormatting sqref="AM33">
    <cfRule type="cellIs" dxfId="2" priority="457" operator="lessThanOrEqual">
      <formula>J33</formula>
    </cfRule>
  </conditionalFormatting>
  <conditionalFormatting sqref="AM34">
    <cfRule type="cellIs" dxfId="2" priority="461" operator="lessThanOrEqual">
      <formula>J34</formula>
    </cfRule>
  </conditionalFormatting>
  <conditionalFormatting sqref="AM35">
    <cfRule type="cellIs" dxfId="2" priority="465" operator="lessThanOrEqual">
      <formula>J35</formula>
    </cfRule>
  </conditionalFormatting>
  <conditionalFormatting sqref="AM36">
    <cfRule type="cellIs" dxfId="2" priority="469" operator="lessThanOrEqual">
      <formula>J36</formula>
    </cfRule>
  </conditionalFormatting>
  <conditionalFormatting sqref="AM37">
    <cfRule type="cellIs" dxfId="2" priority="473" operator="lessThanOrEqual">
      <formula>J37</formula>
    </cfRule>
  </conditionalFormatting>
  <conditionalFormatting sqref="AM40">
    <cfRule type="cellIs" dxfId="2" priority="477" operator="lessThanOrEqual">
      <formula>J40</formula>
    </cfRule>
  </conditionalFormatting>
  <conditionalFormatting sqref="AM41">
    <cfRule type="cellIs" dxfId="2" priority="481" operator="lessThanOrEqual">
      <formula>J41</formula>
    </cfRule>
  </conditionalFormatting>
  <conditionalFormatting sqref="AM7">
    <cfRule type="cellIs" dxfId="2" priority="377" operator="lessThanOrEqual">
      <formula>J7</formula>
    </cfRule>
  </conditionalFormatting>
  <conditionalFormatting sqref="AM8">
    <cfRule type="cellIs" dxfId="2" priority="381" operator="lessThanOrEqual">
      <formula>J8</formula>
    </cfRule>
  </conditionalFormatting>
  <conditionalFormatting sqref="AM9">
    <cfRule type="cellIs" dxfId="2" priority="385" operator="lessThanOrEqual">
      <formula>J9</formula>
    </cfRule>
  </conditionalFormatting>
  <conditionalFormatting sqref="AO10">
    <cfRule type="cellIs" dxfId="0" priority="496" operator="lessThan">
      <formula>H10</formula>
    </cfRule>
  </conditionalFormatting>
  <conditionalFormatting sqref="AO11">
    <cfRule type="cellIs" dxfId="0" priority="500" operator="lessThan">
      <formula>H11</formula>
    </cfRule>
  </conditionalFormatting>
  <conditionalFormatting sqref="AO12">
    <cfRule type="cellIs" dxfId="0" priority="504" operator="lessThan">
      <formula>H12</formula>
    </cfRule>
  </conditionalFormatting>
  <conditionalFormatting sqref="AO13">
    <cfRule type="cellIs" dxfId="0" priority="509" operator="lessThan">
      <formula>H13</formula>
    </cfRule>
  </conditionalFormatting>
  <conditionalFormatting sqref="AO14">
    <cfRule type="cellIs" dxfId="0" priority="517" operator="lessThan">
      <formula>H14</formula>
    </cfRule>
  </conditionalFormatting>
  <conditionalFormatting sqref="AO20">
    <cfRule type="cellIs" dxfId="0" priority="521" operator="lessThan">
      <formula>H20</formula>
    </cfRule>
  </conditionalFormatting>
  <conditionalFormatting sqref="AO21">
    <cfRule type="cellIs" dxfId="0" priority="525" operator="lessThan">
      <formula>H21</formula>
    </cfRule>
  </conditionalFormatting>
  <conditionalFormatting sqref="AO22">
    <cfRule type="cellIs" dxfId="0" priority="533" operator="lessThan">
      <formula>H22</formula>
    </cfRule>
  </conditionalFormatting>
  <conditionalFormatting sqref="AO23">
    <cfRule type="cellIs" dxfId="0" priority="537" operator="lessThan">
      <formula>H23</formula>
    </cfRule>
  </conditionalFormatting>
  <conditionalFormatting sqref="AO24">
    <cfRule type="cellIs" dxfId="0" priority="541" operator="lessThan">
      <formula>H24</formula>
    </cfRule>
  </conditionalFormatting>
  <conditionalFormatting sqref="AO25">
    <cfRule type="cellIs" dxfId="0" priority="545" operator="lessThan">
      <formula>H25</formula>
    </cfRule>
  </conditionalFormatting>
  <conditionalFormatting sqref="AO26">
    <cfRule type="cellIs" dxfId="0" priority="553" operator="lessThan">
      <formula>H26</formula>
    </cfRule>
  </conditionalFormatting>
  <conditionalFormatting sqref="AO27">
    <cfRule type="cellIs" dxfId="0" priority="557" operator="lessThan">
      <formula>H27</formula>
    </cfRule>
  </conditionalFormatting>
  <conditionalFormatting sqref="AO28">
    <cfRule type="cellIs" dxfId="0" priority="561" operator="lessThan">
      <formula>H28</formula>
    </cfRule>
  </conditionalFormatting>
  <conditionalFormatting sqref="AO29">
    <cfRule type="cellIs" dxfId="0" priority="565" operator="lessThan">
      <formula>H29</formula>
    </cfRule>
  </conditionalFormatting>
  <conditionalFormatting sqref="AO31">
    <cfRule type="cellIs" dxfId="0" priority="569" operator="lessThan">
      <formula>H31</formula>
    </cfRule>
  </conditionalFormatting>
  <conditionalFormatting sqref="AO32">
    <cfRule type="cellIs" dxfId="0" priority="574" operator="lessThan">
      <formula>H32</formula>
    </cfRule>
  </conditionalFormatting>
  <conditionalFormatting sqref="AO35">
    <cfRule type="cellIs" dxfId="0" priority="579" operator="lessThan">
      <formula>H35</formula>
    </cfRule>
  </conditionalFormatting>
  <conditionalFormatting sqref="AO36">
    <cfRule type="cellIs" dxfId="0" priority="583" operator="lessThan">
      <formula>H36</formula>
    </cfRule>
  </conditionalFormatting>
  <conditionalFormatting sqref="AO37">
    <cfRule type="cellIs" dxfId="0" priority="587" operator="lessThan">
      <formula>H37</formula>
    </cfRule>
  </conditionalFormatting>
  <conditionalFormatting sqref="AO40">
    <cfRule type="cellIs" dxfId="0" priority="591" operator="lessThan">
      <formula>H40</formula>
    </cfRule>
  </conditionalFormatting>
  <conditionalFormatting sqref="AO41">
    <cfRule type="cellIs" dxfId="0" priority="595" operator="lessThan">
      <formula>H41</formula>
    </cfRule>
  </conditionalFormatting>
  <conditionalFormatting sqref="AO7">
    <cfRule type="cellIs" dxfId="0" priority="483" operator="lessThan">
      <formula>H7</formula>
    </cfRule>
  </conditionalFormatting>
  <conditionalFormatting sqref="AO8">
    <cfRule type="cellIs" dxfId="0" priority="488" operator="lessThan">
      <formula>H8</formula>
    </cfRule>
  </conditionalFormatting>
  <conditionalFormatting sqref="AO9">
    <cfRule type="cellIs" dxfId="0" priority="492" operator="lessThan">
      <formula>H9</formula>
    </cfRule>
  </conditionalFormatting>
  <conditionalFormatting sqref="AP10">
    <cfRule type="expression" dxfId="1" priority="497">
      <formula>AND(NOT(ISBLANK(AP10)),OR(AO10="NonStk",AP10&gt;AO10))</formula>
    </cfRule>
  </conditionalFormatting>
  <conditionalFormatting sqref="AP11">
    <cfRule type="expression" dxfId="1" priority="501">
      <formula>AND(NOT(ISBLANK(AP11)),OR(AO11="NonStk",AP11&gt;AO11))</formula>
    </cfRule>
  </conditionalFormatting>
  <conditionalFormatting sqref="AP12">
    <cfRule type="expression" dxfId="3" priority="505">
      <formula>AND(AP12&gt;0,MOD(AP12,AR12)&lt;&gt;0)</formula>
    </cfRule>
    <cfRule type="expression" dxfId="1" priority="506">
      <formula>AND(NOT(ISBLANK(AP12)),OR(AO12="NonStk",AP12&gt;AO12))</formula>
    </cfRule>
  </conditionalFormatting>
  <conditionalFormatting sqref="AP13">
    <cfRule type="expression" dxfId="3" priority="510">
      <formula>AND(AP13&gt;0,MOD(AP13,AR13)&lt;&gt;0)</formula>
    </cfRule>
    <cfRule type="expression" dxfId="1" priority="511">
      <formula>AND(NOT(ISBLANK(AP13)),OR(AO13="NonStk",AP13&gt;AO13))</formula>
    </cfRule>
  </conditionalFormatting>
  <conditionalFormatting sqref="AP14">
    <cfRule type="expression" dxfId="1" priority="518">
      <formula>AND(NOT(ISBLANK(AP14)),OR(AO14="NonStk",AP14&gt;AO14))</formula>
    </cfRule>
  </conditionalFormatting>
  <conditionalFormatting sqref="AP20">
    <cfRule type="expression" dxfId="1" priority="522">
      <formula>AND(NOT(ISBLANK(AP20)),OR(AO20="NonStk",AP20&gt;AO20))</formula>
    </cfRule>
  </conditionalFormatting>
  <conditionalFormatting sqref="AP21">
    <cfRule type="expression" dxfId="3" priority="526">
      <formula>AND(AP21&gt;0,MOD(AP21,AR21)&lt;&gt;0)</formula>
    </cfRule>
    <cfRule type="expression" dxfId="1" priority="527">
      <formula>AND(NOT(ISBLANK(AP21)),OR(AO21="NonStk",AP21&gt;AO21))</formula>
    </cfRule>
  </conditionalFormatting>
  <conditionalFormatting sqref="AP22">
    <cfRule type="expression" dxfId="1" priority="534">
      <formula>AND(NOT(ISBLANK(AP22)),OR(AO22="NonStk",AP22&gt;AO22))</formula>
    </cfRule>
  </conditionalFormatting>
  <conditionalFormatting sqref="AP23">
    <cfRule type="expression" dxfId="1" priority="538">
      <formula>AND(NOT(ISBLANK(AP23)),OR(AO23="NonStk",AP23&gt;AO23))</formula>
    </cfRule>
  </conditionalFormatting>
  <conditionalFormatting sqref="AP24">
    <cfRule type="expression" dxfId="1" priority="542">
      <formula>AND(NOT(ISBLANK(AP24)),OR(AO24="NonStk",AP24&gt;AO24))</formula>
    </cfRule>
  </conditionalFormatting>
  <conditionalFormatting sqref="AP25">
    <cfRule type="expression" dxfId="3" priority="546">
      <formula>AND(AP25&gt;0,MOD(AP25,AR25)&lt;&gt;0)</formula>
    </cfRule>
    <cfRule type="expression" dxfId="1" priority="547">
      <formula>AND(NOT(ISBLANK(AP25)),OR(AO25="NonStk",AP25&gt;AO25))</formula>
    </cfRule>
  </conditionalFormatting>
  <conditionalFormatting sqref="AP26">
    <cfRule type="expression" dxfId="1" priority="554">
      <formula>AND(NOT(ISBLANK(AP26)),OR(AO26="NonStk",AP26&gt;AO26))</formula>
    </cfRule>
  </conditionalFormatting>
  <conditionalFormatting sqref="AP27">
    <cfRule type="expression" dxfId="1" priority="558">
      <formula>AND(NOT(ISBLANK(AP27)),OR(AO27="NonStk",AP27&gt;AO27))</formula>
    </cfRule>
  </conditionalFormatting>
  <conditionalFormatting sqref="AP28">
    <cfRule type="expression" dxfId="1" priority="562">
      <formula>AND(NOT(ISBLANK(AP28)),OR(AO28="NonStk",AP28&gt;AO28))</formula>
    </cfRule>
  </conditionalFormatting>
  <conditionalFormatting sqref="AP29">
    <cfRule type="expression" dxfId="1" priority="566">
      <formula>AND(NOT(ISBLANK(AP29)),OR(AO29="NonStk",AP29&gt;AO29))</formula>
    </cfRule>
  </conditionalFormatting>
  <conditionalFormatting sqref="AP31">
    <cfRule type="expression" dxfId="3" priority="570">
      <formula>AND(AP31&gt;0,MOD(AP31,AR31)&lt;&gt;0)</formula>
    </cfRule>
    <cfRule type="expression" dxfId="1" priority="571">
      <formula>AND(NOT(ISBLANK(AP31)),OR(AO31="NonStk",AP31&gt;AO31))</formula>
    </cfRule>
  </conditionalFormatting>
  <conditionalFormatting sqref="AP32">
    <cfRule type="expression" dxfId="3" priority="575">
      <formula>AND(AP32&gt;0,MOD(AP32,AR32)&lt;&gt;0)</formula>
    </cfRule>
    <cfRule type="expression" dxfId="1" priority="576">
      <formula>AND(NOT(ISBLANK(AP32)),OR(AO32="NonStk",AP32&gt;AO32))</formula>
    </cfRule>
  </conditionalFormatting>
  <conditionalFormatting sqref="AP35">
    <cfRule type="expression" dxfId="1" priority="580">
      <formula>AND(NOT(ISBLANK(AP35)),OR(AO35="NonStk",AP35&gt;AO35))</formula>
    </cfRule>
  </conditionalFormatting>
  <conditionalFormatting sqref="AP36">
    <cfRule type="expression" dxfId="1" priority="584">
      <formula>AND(NOT(ISBLANK(AP36)),OR(AO36="NonStk",AP36&gt;AO36))</formula>
    </cfRule>
  </conditionalFormatting>
  <conditionalFormatting sqref="AP37">
    <cfRule type="expression" dxfId="1" priority="588">
      <formula>AND(NOT(ISBLANK(AP37)),OR(AO37="NonStk",AP37&gt;AO37))</formula>
    </cfRule>
  </conditionalFormatting>
  <conditionalFormatting sqref="AP40">
    <cfRule type="expression" dxfId="1" priority="592">
      <formula>AND(NOT(ISBLANK(AP40)),OR(AO40="NonStk",AP40&gt;AO40))</formula>
    </cfRule>
  </conditionalFormatting>
  <conditionalFormatting sqref="AP41">
    <cfRule type="expression" dxfId="1" priority="596">
      <formula>AND(NOT(ISBLANK(AP41)),OR(AO41="NonStk",AP41&gt;AO41))</formula>
    </cfRule>
  </conditionalFormatting>
  <conditionalFormatting sqref="AP7">
    <cfRule type="expression" dxfId="3" priority="484">
      <formula>AND(AP7&gt;0,MOD(AP7,AR7)&lt;&gt;0)</formula>
    </cfRule>
    <cfRule type="expression" dxfId="1" priority="485">
      <formula>AND(NOT(ISBLANK(AP7)),OR(AO7="NonStk",AP7&gt;AO7))</formula>
    </cfRule>
  </conditionalFormatting>
  <conditionalFormatting sqref="AP8">
    <cfRule type="expression" dxfId="1" priority="489">
      <formula>AND(NOT(ISBLANK(AP8)),OR(AO8="NonStk",AP8&gt;AO8))</formula>
    </cfRule>
  </conditionalFormatting>
  <conditionalFormatting sqref="AP9">
    <cfRule type="expression" dxfId="1" priority="493">
      <formula>AND(NOT(ISBLANK(AP9)),OR(AO9="NonStk",AP9&gt;AO9))</formula>
    </cfRule>
  </conditionalFormatting>
  <conditionalFormatting sqref="AQ10">
    <cfRule type="cellIs" dxfId="2" priority="499" operator="lessThanOrEqual">
      <formula>I10</formula>
    </cfRule>
  </conditionalFormatting>
  <conditionalFormatting sqref="AQ11">
    <cfRule type="cellIs" dxfId="2" priority="503" operator="lessThanOrEqual">
      <formula>I11</formula>
    </cfRule>
  </conditionalFormatting>
  <conditionalFormatting sqref="AQ12">
    <cfRule type="cellIs" dxfId="2" priority="508" operator="lessThanOrEqual">
      <formula>I12</formula>
    </cfRule>
  </conditionalFormatting>
  <conditionalFormatting sqref="AQ13">
    <cfRule type="cellIs" dxfId="2" priority="513" operator="lessThanOrEqual">
      <formula>I13</formula>
    </cfRule>
    <cfRule type="expression" dxfId="3" priority="514">
      <formula>AND(H13&lt;4000,AP13&lt;4000)</formula>
    </cfRule>
  </conditionalFormatting>
  <conditionalFormatting sqref="AQ14">
    <cfRule type="cellIs" dxfId="2" priority="520" operator="lessThanOrEqual">
      <formula>I14</formula>
    </cfRule>
  </conditionalFormatting>
  <conditionalFormatting sqref="AQ20">
    <cfRule type="cellIs" dxfId="2" priority="524" operator="lessThanOrEqual">
      <formula>I20</formula>
    </cfRule>
  </conditionalFormatting>
  <conditionalFormatting sqref="AQ21">
    <cfRule type="cellIs" dxfId="2" priority="529" operator="lessThanOrEqual">
      <formula>I21</formula>
    </cfRule>
    <cfRule type="expression" dxfId="3" priority="530">
      <formula>AND(H21&lt;15000,AP21&lt;15000)</formula>
    </cfRule>
  </conditionalFormatting>
  <conditionalFormatting sqref="AQ22">
    <cfRule type="cellIs" dxfId="2" priority="536" operator="lessThanOrEqual">
      <formula>I22</formula>
    </cfRule>
  </conditionalFormatting>
  <conditionalFormatting sqref="AQ23">
    <cfRule type="cellIs" dxfId="2" priority="540" operator="lessThanOrEqual">
      <formula>I23</formula>
    </cfRule>
  </conditionalFormatting>
  <conditionalFormatting sqref="AQ24">
    <cfRule type="cellIs" dxfId="2" priority="544" operator="lessThanOrEqual">
      <formula>I24</formula>
    </cfRule>
  </conditionalFormatting>
  <conditionalFormatting sqref="AQ25">
    <cfRule type="cellIs" dxfId="2" priority="549" operator="lessThanOrEqual">
      <formula>I25</formula>
    </cfRule>
    <cfRule type="expression" dxfId="3" priority="550">
      <formula>AND(H25&lt;15000,AP25&lt;15000)</formula>
    </cfRule>
  </conditionalFormatting>
  <conditionalFormatting sqref="AQ26">
    <cfRule type="cellIs" dxfId="2" priority="556" operator="lessThanOrEqual">
      <formula>I26</formula>
    </cfRule>
  </conditionalFormatting>
  <conditionalFormatting sqref="AQ27">
    <cfRule type="cellIs" dxfId="2" priority="560" operator="lessThanOrEqual">
      <formula>I27</formula>
    </cfRule>
  </conditionalFormatting>
  <conditionalFormatting sqref="AQ28">
    <cfRule type="cellIs" dxfId="2" priority="564" operator="lessThanOrEqual">
      <formula>I28</formula>
    </cfRule>
  </conditionalFormatting>
  <conditionalFormatting sqref="AQ29">
    <cfRule type="cellIs" dxfId="2" priority="568" operator="lessThanOrEqual">
      <formula>I29</formula>
    </cfRule>
  </conditionalFormatting>
  <conditionalFormatting sqref="AQ31">
    <cfRule type="cellIs" dxfId="2" priority="573" operator="lessThanOrEqual">
      <formula>I31</formula>
    </cfRule>
  </conditionalFormatting>
  <conditionalFormatting sqref="AQ32">
    <cfRule type="cellIs" dxfId="2" priority="578" operator="lessThanOrEqual">
      <formula>I32</formula>
    </cfRule>
  </conditionalFormatting>
  <conditionalFormatting sqref="AQ35">
    <cfRule type="cellIs" dxfId="2" priority="582" operator="lessThanOrEqual">
      <formula>I35</formula>
    </cfRule>
  </conditionalFormatting>
  <conditionalFormatting sqref="AQ36">
    <cfRule type="cellIs" dxfId="2" priority="586" operator="lessThanOrEqual">
      <formula>I36</formula>
    </cfRule>
  </conditionalFormatting>
  <conditionalFormatting sqref="AQ37">
    <cfRule type="cellIs" dxfId="2" priority="590" operator="lessThanOrEqual">
      <formula>I37</formula>
    </cfRule>
  </conditionalFormatting>
  <conditionalFormatting sqref="AQ40">
    <cfRule type="cellIs" dxfId="2" priority="594" operator="lessThanOrEqual">
      <formula>I40</formula>
    </cfRule>
  </conditionalFormatting>
  <conditionalFormatting sqref="AQ41">
    <cfRule type="cellIs" dxfId="2" priority="598" operator="lessThanOrEqual">
      <formula>I41</formula>
    </cfRule>
  </conditionalFormatting>
  <conditionalFormatting sqref="AQ7">
    <cfRule type="cellIs" dxfId="2" priority="487" operator="lessThanOrEqual">
      <formula>I7</formula>
    </cfRule>
  </conditionalFormatting>
  <conditionalFormatting sqref="AQ8">
    <cfRule type="cellIs" dxfId="2" priority="491" operator="lessThanOrEqual">
      <formula>I8</formula>
    </cfRule>
  </conditionalFormatting>
  <conditionalFormatting sqref="AQ9">
    <cfRule type="cellIs" dxfId="2" priority="495" operator="lessThanOrEqual">
      <formula>I9</formula>
    </cfRule>
  </conditionalFormatting>
  <conditionalFormatting sqref="AR13">
    <cfRule type="expression" dxfId="3" priority="515">
      <formula>AND(H13&lt;4000,AP13&lt;4000)</formula>
    </cfRule>
  </conditionalFormatting>
  <conditionalFormatting sqref="AR21">
    <cfRule type="expression" dxfId="3" priority="531">
      <formula>AND(H21&lt;15000,AP21&lt;15000)</formula>
    </cfRule>
  </conditionalFormatting>
  <conditionalFormatting sqref="AR25">
    <cfRule type="expression" dxfId="3" priority="551">
      <formula>AND(H25&lt;15000,AP25&lt;15000)</formula>
    </cfRule>
  </conditionalFormatting>
  <conditionalFormatting sqref="AS10">
    <cfRule type="cellIs" dxfId="2" priority="498" operator="lessThanOrEqual">
      <formula>J10</formula>
    </cfRule>
  </conditionalFormatting>
  <conditionalFormatting sqref="AS11">
    <cfRule type="cellIs" dxfId="2" priority="502" operator="lessThanOrEqual">
      <formula>J11</formula>
    </cfRule>
  </conditionalFormatting>
  <conditionalFormatting sqref="AS12">
    <cfRule type="cellIs" dxfId="2" priority="507" operator="lessThanOrEqual">
      <formula>J12</formula>
    </cfRule>
  </conditionalFormatting>
  <conditionalFormatting sqref="AS13">
    <cfRule type="cellIs" dxfId="2" priority="512" operator="lessThanOrEqual">
      <formula>J13</formula>
    </cfRule>
    <cfRule type="expression" dxfId="3" priority="516">
      <formula>AND(H13&lt;4000,AP13&lt;4000)</formula>
    </cfRule>
  </conditionalFormatting>
  <conditionalFormatting sqref="AS14">
    <cfRule type="cellIs" dxfId="2" priority="519" operator="lessThanOrEqual">
      <formula>J14</formula>
    </cfRule>
  </conditionalFormatting>
  <conditionalFormatting sqref="AS20">
    <cfRule type="cellIs" dxfId="2" priority="523" operator="lessThanOrEqual">
      <formula>J20</formula>
    </cfRule>
  </conditionalFormatting>
  <conditionalFormatting sqref="AS21">
    <cfRule type="cellIs" dxfId="2" priority="528" operator="lessThanOrEqual">
      <formula>J21</formula>
    </cfRule>
    <cfRule type="expression" dxfId="3" priority="532">
      <formula>AND(H21&lt;15000,AP21&lt;15000)</formula>
    </cfRule>
  </conditionalFormatting>
  <conditionalFormatting sqref="AS22">
    <cfRule type="cellIs" dxfId="2" priority="535" operator="lessThanOrEqual">
      <formula>J22</formula>
    </cfRule>
  </conditionalFormatting>
  <conditionalFormatting sqref="AS23">
    <cfRule type="cellIs" dxfId="2" priority="539" operator="lessThanOrEqual">
      <formula>J23</formula>
    </cfRule>
  </conditionalFormatting>
  <conditionalFormatting sqref="AS24">
    <cfRule type="cellIs" dxfId="2" priority="543" operator="lessThanOrEqual">
      <formula>J24</formula>
    </cfRule>
  </conditionalFormatting>
  <conditionalFormatting sqref="AS25">
    <cfRule type="cellIs" dxfId="2" priority="548" operator="lessThanOrEqual">
      <formula>J25</formula>
    </cfRule>
    <cfRule type="expression" dxfId="3" priority="552">
      <formula>AND(H25&lt;15000,AP25&lt;15000)</formula>
    </cfRule>
  </conditionalFormatting>
  <conditionalFormatting sqref="AS26">
    <cfRule type="cellIs" dxfId="2" priority="555" operator="lessThanOrEqual">
      <formula>J26</formula>
    </cfRule>
  </conditionalFormatting>
  <conditionalFormatting sqref="AS27">
    <cfRule type="cellIs" dxfId="2" priority="559" operator="lessThanOrEqual">
      <formula>J27</formula>
    </cfRule>
  </conditionalFormatting>
  <conditionalFormatting sqref="AS28">
    <cfRule type="cellIs" dxfId="2" priority="563" operator="lessThanOrEqual">
      <formula>J28</formula>
    </cfRule>
  </conditionalFormatting>
  <conditionalFormatting sqref="AS29">
    <cfRule type="cellIs" dxfId="2" priority="567" operator="lessThanOrEqual">
      <formula>J29</formula>
    </cfRule>
  </conditionalFormatting>
  <conditionalFormatting sqref="AS31">
    <cfRule type="cellIs" dxfId="2" priority="572" operator="lessThanOrEqual">
      <formula>J31</formula>
    </cfRule>
  </conditionalFormatting>
  <conditionalFormatting sqref="AS32">
    <cfRule type="cellIs" dxfId="2" priority="577" operator="lessThanOrEqual">
      <formula>J32</formula>
    </cfRule>
  </conditionalFormatting>
  <conditionalFormatting sqref="AS35">
    <cfRule type="cellIs" dxfId="2" priority="581" operator="lessThanOrEqual">
      <formula>J35</formula>
    </cfRule>
  </conditionalFormatting>
  <conditionalFormatting sqref="AS36">
    <cfRule type="cellIs" dxfId="2" priority="585" operator="lessThanOrEqual">
      <formula>J36</formula>
    </cfRule>
  </conditionalFormatting>
  <conditionalFormatting sqref="AS37">
    <cfRule type="cellIs" dxfId="2" priority="589" operator="lessThanOrEqual">
      <formula>J37</formula>
    </cfRule>
  </conditionalFormatting>
  <conditionalFormatting sqref="AS40">
    <cfRule type="cellIs" dxfId="2" priority="593" operator="lessThanOrEqual">
      <formula>J40</formula>
    </cfRule>
  </conditionalFormatting>
  <conditionalFormatting sqref="AS41">
    <cfRule type="cellIs" dxfId="2" priority="597" operator="lessThanOrEqual">
      <formula>J41</formula>
    </cfRule>
  </conditionalFormatting>
  <conditionalFormatting sqref="AS7">
    <cfRule type="cellIs" dxfId="2" priority="486" operator="lessThanOrEqual">
      <formula>J7</formula>
    </cfRule>
  </conditionalFormatting>
  <conditionalFormatting sqref="AS8">
    <cfRule type="cellIs" dxfId="2" priority="490" operator="lessThanOrEqual">
      <formula>J8</formula>
    </cfRule>
  </conditionalFormatting>
  <conditionalFormatting sqref="AS9">
    <cfRule type="cellIs" dxfId="2" priority="494" operator="lessThanOrEqual">
      <formula>J9</formula>
    </cfRule>
  </conditionalFormatting>
  <conditionalFormatting sqref="AU10">
    <cfRule type="cellIs" dxfId="0" priority="599" operator="lessThan">
      <formula>H10</formula>
    </cfRule>
  </conditionalFormatting>
  <conditionalFormatting sqref="AU12">
    <cfRule type="cellIs" dxfId="0" priority="604" operator="lessThan">
      <formula>H12</formula>
    </cfRule>
  </conditionalFormatting>
  <conditionalFormatting sqref="AU20">
    <cfRule type="cellIs" dxfId="0" priority="609" operator="lessThan">
      <formula>H20</formula>
    </cfRule>
  </conditionalFormatting>
  <conditionalFormatting sqref="AU21">
    <cfRule type="cellIs" dxfId="0" priority="617" operator="lessThan">
      <formula>H21</formula>
    </cfRule>
  </conditionalFormatting>
  <conditionalFormatting sqref="AU22">
    <cfRule type="cellIs" dxfId="0" priority="625" operator="lessThan">
      <formula>H22</formula>
    </cfRule>
  </conditionalFormatting>
  <conditionalFormatting sqref="AU24">
    <cfRule type="cellIs" dxfId="0" priority="633" operator="lessThan">
      <formula>H24</formula>
    </cfRule>
  </conditionalFormatting>
  <conditionalFormatting sqref="AU26">
    <cfRule type="cellIs" dxfId="0" priority="641" operator="lessThan">
      <formula>H26</formula>
    </cfRule>
  </conditionalFormatting>
  <conditionalFormatting sqref="AU27">
    <cfRule type="cellIs" dxfId="0" priority="649" operator="lessThan">
      <formula>H27</formula>
    </cfRule>
  </conditionalFormatting>
  <conditionalFormatting sqref="AU28">
    <cfRule type="cellIs" dxfId="0" priority="657" operator="lessThan">
      <formula>H28</formula>
    </cfRule>
  </conditionalFormatting>
  <conditionalFormatting sqref="AU31">
    <cfRule type="cellIs" dxfId="0" priority="665" operator="lessThan">
      <formula>H31</formula>
    </cfRule>
  </conditionalFormatting>
  <conditionalFormatting sqref="AU32">
    <cfRule type="cellIs" dxfId="0" priority="670" operator="lessThan">
      <formula>H32</formula>
    </cfRule>
  </conditionalFormatting>
  <conditionalFormatting sqref="AU36">
    <cfRule type="cellIs" dxfId="0" priority="675" operator="lessThan">
      <formula>H36</formula>
    </cfRule>
  </conditionalFormatting>
  <conditionalFormatting sqref="AU37">
    <cfRule type="cellIs" dxfId="0" priority="680" operator="lessThan">
      <formula>H37</formula>
    </cfRule>
  </conditionalFormatting>
  <conditionalFormatting sqref="AV10">
    <cfRule type="expression" dxfId="3" priority="600">
      <formula>AND(AV10&gt;0,MOD(AV10,AX10)&lt;&gt;0)</formula>
    </cfRule>
    <cfRule type="expression" dxfId="1" priority="601">
      <formula>AND(NOT(ISBLANK(AV10)),OR(AU10="NonStk",AV10&gt;AU10))</formula>
    </cfRule>
  </conditionalFormatting>
  <conditionalFormatting sqref="AV12">
    <cfRule type="expression" dxfId="3" priority="605">
      <formula>AND(AV12&gt;0,MOD(AV12,AX12)&lt;&gt;0)</formula>
    </cfRule>
    <cfRule type="expression" dxfId="1" priority="606">
      <formula>AND(NOT(ISBLANK(AV12)),OR(AU12="NonStk",AV12&gt;AU12))</formula>
    </cfRule>
  </conditionalFormatting>
  <conditionalFormatting sqref="AV20">
    <cfRule type="expression" dxfId="3" priority="610">
      <formula>AND(AV20&gt;0,MOD(AV20,AX20)&lt;&gt;0)</formula>
    </cfRule>
    <cfRule type="expression" dxfId="1" priority="611">
      <formula>AND(NOT(ISBLANK(AV20)),OR(AU20="NonStk",AV20&gt;AU20))</formula>
    </cfRule>
  </conditionalFormatting>
  <conditionalFormatting sqref="AV21">
    <cfRule type="expression" dxfId="3" priority="618">
      <formula>AND(AV21&gt;0,MOD(AV21,AX21)&lt;&gt;0)</formula>
    </cfRule>
    <cfRule type="expression" dxfId="1" priority="619">
      <formula>AND(NOT(ISBLANK(AV21)),OR(AU21="NonStk",AV21&gt;AU21))</formula>
    </cfRule>
  </conditionalFormatting>
  <conditionalFormatting sqref="AV22">
    <cfRule type="expression" dxfId="3" priority="626">
      <formula>AND(AV22&gt;0,MOD(AV22,AX22)&lt;&gt;0)</formula>
    </cfRule>
    <cfRule type="expression" dxfId="1" priority="627">
      <formula>AND(NOT(ISBLANK(AV22)),OR(AU22="NonStk",AV22&gt;AU22))</formula>
    </cfRule>
  </conditionalFormatting>
  <conditionalFormatting sqref="AV24">
    <cfRule type="expression" dxfId="3" priority="634">
      <formula>AND(AV24&gt;0,MOD(AV24,AX24)&lt;&gt;0)</formula>
    </cfRule>
    <cfRule type="expression" dxfId="1" priority="635">
      <formula>AND(NOT(ISBLANK(AV24)),OR(AU24="NonStk",AV24&gt;AU24))</formula>
    </cfRule>
  </conditionalFormatting>
  <conditionalFormatting sqref="AV26">
    <cfRule type="expression" dxfId="3" priority="642">
      <formula>AND(AV26&gt;0,MOD(AV26,AX26)&lt;&gt;0)</formula>
    </cfRule>
    <cfRule type="expression" dxfId="1" priority="643">
      <formula>AND(NOT(ISBLANK(AV26)),OR(AU26="NonStk",AV26&gt;AU26))</formula>
    </cfRule>
  </conditionalFormatting>
  <conditionalFormatting sqref="AV27">
    <cfRule type="expression" dxfId="3" priority="650">
      <formula>AND(AV27&gt;0,MOD(AV27,AX27)&lt;&gt;0)</formula>
    </cfRule>
    <cfRule type="expression" dxfId="1" priority="651">
      <formula>AND(NOT(ISBLANK(AV27)),OR(AU27="NonStk",AV27&gt;AU27))</formula>
    </cfRule>
  </conditionalFormatting>
  <conditionalFormatting sqref="AV28">
    <cfRule type="expression" dxfId="3" priority="658">
      <formula>AND(AV28&gt;0,MOD(AV28,AX28)&lt;&gt;0)</formula>
    </cfRule>
    <cfRule type="expression" dxfId="1" priority="659">
      <formula>AND(NOT(ISBLANK(AV28)),OR(AU28="NonStk",AV28&gt;AU28))</formula>
    </cfRule>
  </conditionalFormatting>
  <conditionalFormatting sqref="AV31">
    <cfRule type="expression" dxfId="3" priority="666">
      <formula>AND(AV31&gt;0,MOD(AV31,AX31)&lt;&gt;0)</formula>
    </cfRule>
    <cfRule type="expression" dxfId="1" priority="667">
      <formula>AND(NOT(ISBLANK(AV31)),OR(AU31="NonStk",AV31&gt;AU31))</formula>
    </cfRule>
  </conditionalFormatting>
  <conditionalFormatting sqref="AV32">
    <cfRule type="expression" dxfId="3" priority="671">
      <formula>AND(AV32&gt;0,MOD(AV32,AX32)&lt;&gt;0)</formula>
    </cfRule>
    <cfRule type="expression" dxfId="1" priority="672">
      <formula>AND(NOT(ISBLANK(AV32)),OR(AU32="NonStk",AV32&gt;AU32))</formula>
    </cfRule>
  </conditionalFormatting>
  <conditionalFormatting sqref="AV36">
    <cfRule type="expression" dxfId="3" priority="676">
      <formula>AND(AV36&gt;0,MOD(AV36,AX36)&lt;&gt;0)</formula>
    </cfRule>
    <cfRule type="expression" dxfId="1" priority="677">
      <formula>AND(NOT(ISBLANK(AV36)),OR(AU36="NonStk",AV36&gt;AU36))</formula>
    </cfRule>
  </conditionalFormatting>
  <conditionalFormatting sqref="AV37">
    <cfRule type="expression" dxfId="3" priority="681">
      <formula>AND(AV37&gt;0,MOD(AV37,AX37)&lt;&gt;0)</formula>
    </cfRule>
    <cfRule type="expression" dxfId="1" priority="682">
      <formula>AND(NOT(ISBLANK(AV37)),OR(AU37="NonStk",AV37&gt;AU37))</formula>
    </cfRule>
  </conditionalFormatting>
  <conditionalFormatting sqref="AW10">
    <cfRule type="cellIs" dxfId="2" priority="603" operator="lessThanOrEqual">
      <formula>I10</formula>
    </cfRule>
  </conditionalFormatting>
  <conditionalFormatting sqref="AW12">
    <cfRule type="cellIs" dxfId="2" priority="608" operator="lessThanOrEqual">
      <formula>I12</formula>
    </cfRule>
  </conditionalFormatting>
  <conditionalFormatting sqref="AW20">
    <cfRule type="cellIs" dxfId="2" priority="613" operator="lessThanOrEqual">
      <formula>I20</formula>
    </cfRule>
    <cfRule type="expression" dxfId="3" priority="614">
      <formula>AND(H20&lt;1000,AV20&lt;1000)</formula>
    </cfRule>
  </conditionalFormatting>
  <conditionalFormatting sqref="AW21">
    <cfRule type="cellIs" dxfId="2" priority="621" operator="lessThanOrEqual">
      <formula>I21</formula>
    </cfRule>
    <cfRule type="expression" dxfId="3" priority="622">
      <formula>AND(H21&lt;1000,AV21&lt;1000)</formula>
    </cfRule>
  </conditionalFormatting>
  <conditionalFormatting sqref="AW22">
    <cfRule type="cellIs" dxfId="2" priority="629" operator="lessThanOrEqual">
      <formula>I22</formula>
    </cfRule>
    <cfRule type="expression" dxfId="3" priority="630">
      <formula>AND(H22&lt;1000,AV22&lt;1000)</formula>
    </cfRule>
  </conditionalFormatting>
  <conditionalFormatting sqref="AW24">
    <cfRule type="cellIs" dxfId="2" priority="637" operator="lessThanOrEqual">
      <formula>I24</formula>
    </cfRule>
    <cfRule type="expression" dxfId="3" priority="638">
      <formula>AND(H24&lt;1000,AV24&lt;1000)</formula>
    </cfRule>
  </conditionalFormatting>
  <conditionalFormatting sqref="AW26">
    <cfRule type="cellIs" dxfId="2" priority="645" operator="lessThanOrEqual">
      <formula>I26</formula>
    </cfRule>
    <cfRule type="expression" dxfId="3" priority="646">
      <formula>AND(H26&lt;1000,AV26&lt;1000)</formula>
    </cfRule>
  </conditionalFormatting>
  <conditionalFormatting sqref="AW27">
    <cfRule type="cellIs" dxfId="2" priority="653" operator="lessThanOrEqual">
      <formula>I27</formula>
    </cfRule>
    <cfRule type="expression" dxfId="3" priority="654">
      <formula>AND(H27&lt;1000,AV27&lt;1000)</formula>
    </cfRule>
  </conditionalFormatting>
  <conditionalFormatting sqref="AW28">
    <cfRule type="cellIs" dxfId="2" priority="661" operator="lessThanOrEqual">
      <formula>I28</formula>
    </cfRule>
    <cfRule type="expression" dxfId="3" priority="662">
      <formula>AND(H28&lt;1000,AV28&lt;1000)</formula>
    </cfRule>
  </conditionalFormatting>
  <conditionalFormatting sqref="AW31">
    <cfRule type="cellIs" dxfId="2" priority="669" operator="lessThanOrEqual">
      <formula>I31</formula>
    </cfRule>
  </conditionalFormatting>
  <conditionalFormatting sqref="AW32">
    <cfRule type="cellIs" dxfId="2" priority="674" operator="lessThanOrEqual">
      <formula>I32</formula>
    </cfRule>
  </conditionalFormatting>
  <conditionalFormatting sqref="AW36">
    <cfRule type="cellIs" dxfId="2" priority="679" operator="lessThanOrEqual">
      <formula>I36</formula>
    </cfRule>
  </conditionalFormatting>
  <conditionalFormatting sqref="AW37">
    <cfRule type="cellIs" dxfId="2" priority="684" operator="lessThanOrEqual">
      <formula>I37</formula>
    </cfRule>
  </conditionalFormatting>
  <conditionalFormatting sqref="AX20">
    <cfRule type="expression" dxfId="3" priority="615">
      <formula>AND(H20&lt;1000,AV20&lt;1000)</formula>
    </cfRule>
  </conditionalFormatting>
  <conditionalFormatting sqref="AX21">
    <cfRule type="expression" dxfId="3" priority="623">
      <formula>AND(H21&lt;1000,AV21&lt;1000)</formula>
    </cfRule>
  </conditionalFormatting>
  <conditionalFormatting sqref="AX22">
    <cfRule type="expression" dxfId="3" priority="631">
      <formula>AND(H22&lt;1000,AV22&lt;1000)</formula>
    </cfRule>
  </conditionalFormatting>
  <conditionalFormatting sqref="AX24">
    <cfRule type="expression" dxfId="3" priority="639">
      <formula>AND(H24&lt;1000,AV24&lt;1000)</formula>
    </cfRule>
  </conditionalFormatting>
  <conditionalFormatting sqref="AX26">
    <cfRule type="expression" dxfId="3" priority="647">
      <formula>AND(H26&lt;1000,AV26&lt;1000)</formula>
    </cfRule>
  </conditionalFormatting>
  <conditionalFormatting sqref="AX27">
    <cfRule type="expression" dxfId="3" priority="655">
      <formula>AND(H27&lt;1000,AV27&lt;1000)</formula>
    </cfRule>
  </conditionalFormatting>
  <conditionalFormatting sqref="AX28">
    <cfRule type="expression" dxfId="3" priority="663">
      <formula>AND(H28&lt;1000,AV28&lt;1000)</formula>
    </cfRule>
  </conditionalFormatting>
  <conditionalFormatting sqref="AY10">
    <cfRule type="cellIs" dxfId="2" priority="602" operator="lessThanOrEqual">
      <formula>J10</formula>
    </cfRule>
  </conditionalFormatting>
  <conditionalFormatting sqref="AY12">
    <cfRule type="cellIs" dxfId="2" priority="607" operator="lessThanOrEqual">
      <formula>J12</formula>
    </cfRule>
  </conditionalFormatting>
  <conditionalFormatting sqref="AY20">
    <cfRule type="cellIs" dxfId="2" priority="612" operator="lessThanOrEqual">
      <formula>J20</formula>
    </cfRule>
    <cfRule type="expression" dxfId="3" priority="616">
      <formula>AND(H20&lt;1000,AV20&lt;1000)</formula>
    </cfRule>
  </conditionalFormatting>
  <conditionalFormatting sqref="AY21">
    <cfRule type="cellIs" dxfId="2" priority="620" operator="lessThanOrEqual">
      <formula>J21</formula>
    </cfRule>
    <cfRule type="expression" dxfId="3" priority="624">
      <formula>AND(H21&lt;1000,AV21&lt;1000)</formula>
    </cfRule>
  </conditionalFormatting>
  <conditionalFormatting sqref="AY22">
    <cfRule type="cellIs" dxfId="2" priority="628" operator="lessThanOrEqual">
      <formula>J22</formula>
    </cfRule>
    <cfRule type="expression" dxfId="3" priority="632">
      <formula>AND(H22&lt;1000,AV22&lt;1000)</formula>
    </cfRule>
  </conditionalFormatting>
  <conditionalFormatting sqref="AY24">
    <cfRule type="cellIs" dxfId="2" priority="636" operator="lessThanOrEqual">
      <formula>J24</formula>
    </cfRule>
    <cfRule type="expression" dxfId="3" priority="640">
      <formula>AND(H24&lt;1000,AV24&lt;1000)</formula>
    </cfRule>
  </conditionalFormatting>
  <conditionalFormatting sqref="AY26">
    <cfRule type="cellIs" dxfId="2" priority="644" operator="lessThanOrEqual">
      <formula>J26</formula>
    </cfRule>
    <cfRule type="expression" dxfId="3" priority="648">
      <formula>AND(H26&lt;1000,AV26&lt;1000)</formula>
    </cfRule>
  </conditionalFormatting>
  <conditionalFormatting sqref="AY27">
    <cfRule type="cellIs" dxfId="2" priority="652" operator="lessThanOrEqual">
      <formula>J27</formula>
    </cfRule>
    <cfRule type="expression" dxfId="3" priority="656">
      <formula>AND(H27&lt;1000,AV27&lt;1000)</formula>
    </cfRule>
  </conditionalFormatting>
  <conditionalFormatting sqref="AY28">
    <cfRule type="cellIs" dxfId="2" priority="660" operator="lessThanOrEqual">
      <formula>J28</formula>
    </cfRule>
    <cfRule type="expression" dxfId="3" priority="664">
      <formula>AND(H28&lt;1000,AV28&lt;1000)</formula>
    </cfRule>
  </conditionalFormatting>
  <conditionalFormatting sqref="AY31">
    <cfRule type="cellIs" dxfId="2" priority="668" operator="lessThanOrEqual">
      <formula>J31</formula>
    </cfRule>
  </conditionalFormatting>
  <conditionalFormatting sqref="AY32">
    <cfRule type="cellIs" dxfId="2" priority="673" operator="lessThanOrEqual">
      <formula>J32</formula>
    </cfRule>
  </conditionalFormatting>
  <conditionalFormatting sqref="AY36">
    <cfRule type="cellIs" dxfId="2" priority="678" operator="lessThanOrEqual">
      <formula>J36</formula>
    </cfRule>
  </conditionalFormatting>
  <conditionalFormatting sqref="AY37">
    <cfRule type="cellIs" dxfId="2" priority="683" operator="lessThanOrEqual">
      <formula>J37</formula>
    </cfRule>
  </conditionalFormatting>
  <conditionalFormatting sqref="BA13">
    <cfRule type="cellIs" dxfId="0" priority="685" operator="lessThan">
      <formula>H13</formula>
    </cfRule>
  </conditionalFormatting>
  <conditionalFormatting sqref="BA14">
    <cfRule type="cellIs" dxfId="0" priority="690" operator="lessThan">
      <formula>H14</formula>
    </cfRule>
  </conditionalFormatting>
  <conditionalFormatting sqref="BA31">
    <cfRule type="cellIs" dxfId="0" priority="695" operator="lessThan">
      <formula>H31</formula>
    </cfRule>
  </conditionalFormatting>
  <conditionalFormatting sqref="BA36">
    <cfRule type="cellIs" dxfId="0" priority="700" operator="lessThan">
      <formula>H36</formula>
    </cfRule>
  </conditionalFormatting>
  <conditionalFormatting sqref="BA37">
    <cfRule type="cellIs" dxfId="0" priority="705" operator="lessThan">
      <formula>H37</formula>
    </cfRule>
  </conditionalFormatting>
  <conditionalFormatting sqref="BB13">
    <cfRule type="expression" dxfId="3" priority="686">
      <formula>AND(BB13&gt;0,MOD(BB13,BD13)&lt;&gt;0)</formula>
    </cfRule>
    <cfRule type="expression" dxfId="1" priority="687">
      <formula>AND(NOT(ISBLANK(BB13)),OR(BA13="NonStk",BB13&gt;BA13))</formula>
    </cfRule>
  </conditionalFormatting>
  <conditionalFormatting sqref="BB14">
    <cfRule type="expression" dxfId="3" priority="691">
      <formula>AND(BB14&gt;0,MOD(BB14,BD14)&lt;&gt;0)</formula>
    </cfRule>
    <cfRule type="expression" dxfId="1" priority="692">
      <formula>AND(NOT(ISBLANK(BB14)),OR(BA14="NonStk",BB14&gt;BA14))</formula>
    </cfRule>
  </conditionalFormatting>
  <conditionalFormatting sqref="BB31">
    <cfRule type="expression" dxfId="3" priority="696">
      <formula>AND(BB31&gt;0,MOD(BB31,BD31)&lt;&gt;0)</formula>
    </cfRule>
    <cfRule type="expression" dxfId="1" priority="697">
      <formula>AND(NOT(ISBLANK(BB31)),OR(BA31="NonStk",BB31&gt;BA31))</formula>
    </cfRule>
  </conditionalFormatting>
  <conditionalFormatting sqref="BB36">
    <cfRule type="expression" dxfId="3" priority="701">
      <formula>AND(BB36&gt;0,MOD(BB36,BD36)&lt;&gt;0)</formula>
    </cfRule>
    <cfRule type="expression" dxfId="1" priority="702">
      <formula>AND(NOT(ISBLANK(BB36)),OR(BA36="NonStk",BB36&gt;BA36))</formula>
    </cfRule>
  </conditionalFormatting>
  <conditionalFormatting sqref="BB37">
    <cfRule type="expression" dxfId="1" priority="706">
      <formula>AND(NOT(ISBLANK(BB37)),OR(BA37="NonStk",BB37&gt;BA37))</formula>
    </cfRule>
  </conditionalFormatting>
  <conditionalFormatting sqref="BC13">
    <cfRule type="cellIs" dxfId="2" priority="689" operator="lessThanOrEqual">
      <formula>I13</formula>
    </cfRule>
  </conditionalFormatting>
  <conditionalFormatting sqref="BC14">
    <cfRule type="cellIs" dxfId="2" priority="694" operator="lessThanOrEqual">
      <formula>I14</formula>
    </cfRule>
  </conditionalFormatting>
  <conditionalFormatting sqref="BC31">
    <cfRule type="cellIs" dxfId="2" priority="699" operator="lessThanOrEqual">
      <formula>I31</formula>
    </cfRule>
  </conditionalFormatting>
  <conditionalFormatting sqref="BC36">
    <cfRule type="cellIs" dxfId="2" priority="704" operator="lessThanOrEqual">
      <formula>I36</formula>
    </cfRule>
  </conditionalFormatting>
  <conditionalFormatting sqref="BC37">
    <cfRule type="cellIs" dxfId="2" priority="708" operator="lessThanOrEqual">
      <formula>I37</formula>
    </cfRule>
  </conditionalFormatting>
  <conditionalFormatting sqref="BE13">
    <cfRule type="cellIs" dxfId="2" priority="688" operator="lessThanOrEqual">
      <formula>J13</formula>
    </cfRule>
  </conditionalFormatting>
  <conditionalFormatting sqref="BE14">
    <cfRule type="cellIs" dxfId="2" priority="693" operator="lessThanOrEqual">
      <formula>J14</formula>
    </cfRule>
  </conditionalFormatting>
  <conditionalFormatting sqref="BE31">
    <cfRule type="cellIs" dxfId="2" priority="698" operator="lessThanOrEqual">
      <formula>J31</formula>
    </cfRule>
  </conditionalFormatting>
  <conditionalFormatting sqref="BE36">
    <cfRule type="cellIs" dxfId="2" priority="703" operator="lessThanOrEqual">
      <formula>J36</formula>
    </cfRule>
  </conditionalFormatting>
  <conditionalFormatting sqref="BE37">
    <cfRule type="cellIs" dxfId="2" priority="707" operator="lessThanOrEqual">
      <formula>J37</formula>
    </cfRule>
  </conditionalFormatting>
  <conditionalFormatting sqref="H10">
    <cfRule type="expression" dxfId="4" priority="721">
      <formula>AND(ISBLANK(G10),ISBLANK(O10),ISBLANK(U10),ISBLANK(AA10),ISBLANK(AG10),ISBLANK(AM10),ISBLANK(AS10),ISBLANK(AY10),ISBLANK(BE10))</formula>
    </cfRule>
    <cfRule type="expression" dxfId="1" priority="722">
      <formula>IF(SUM(K10,Q10,W10,AC10,AI10,AO10,AU10,BA10)=0,1,0)</formula>
    </cfRule>
    <cfRule type="cellIs" dxfId="0" priority="723" operator="greaterThan">
      <formula>SUM(K10,Q10,W10,AC10,AI10,AO10,AU10,BA10)</formula>
    </cfRule>
    <cfRule type="cellIs" dxfId="3" priority="724" operator="greaterThan">
      <formula>SUM(IF(ISNUMBER(M10),L10,0),IF(ISNUMBER(S10),R10,0),IF(ISNUMBER(Y10),X10,0),IF(ISNUMBER(AE10),AD10,0),IF(ISNUMBER(AK10),AJ10,0),IF(ISNUMBER(AQ10),AP10,0),IF(ISNUMBER(AW10),AV10,0),IF(ISNUMBER(BC10),BB10,0))</formula>
    </cfRule>
  </conditionalFormatting>
  <conditionalFormatting sqref="H11">
    <cfRule type="expression" dxfId="4" priority="725">
      <formula>AND(ISBLANK(G11),ISBLANK(O11),ISBLANK(U11),ISBLANK(AA11),ISBLANK(AG11),ISBLANK(AM11),ISBLANK(AS11),ISBLANK(AY11),ISBLANK(BE11))</formula>
    </cfRule>
    <cfRule type="expression" dxfId="1" priority="726">
      <formula>IF(SUM(K11,Q11,W11,AC11,AI11,AO11,AU11,BA11)=0,1,0)</formula>
    </cfRule>
    <cfRule type="cellIs" dxfId="0" priority="727" operator="greaterThan">
      <formula>SUM(K11,Q11,W11,AC11,AI11,AO11,AU11,BA11)</formula>
    </cfRule>
    <cfRule type="cellIs" dxfId="3" priority="728" operator="greaterThan">
      <formula>SUM(IF(ISNUMBER(M11),L11,0),IF(ISNUMBER(S11),R11,0),IF(ISNUMBER(Y11),X11,0),IF(ISNUMBER(AE11),AD11,0),IF(ISNUMBER(AK11),AJ11,0),IF(ISNUMBER(AQ11),AP11,0),IF(ISNUMBER(AW11),AV11,0),IF(ISNUMBER(BC11),BB11,0))</formula>
    </cfRule>
  </conditionalFormatting>
  <conditionalFormatting sqref="H12">
    <cfRule type="expression" dxfId="4" priority="729">
      <formula>AND(ISBLANK(G12),ISBLANK(O12),ISBLANK(U12),ISBLANK(AA12),ISBLANK(AG12),ISBLANK(AM12),ISBLANK(AS12),ISBLANK(AY12),ISBLANK(BE12))</formula>
    </cfRule>
    <cfRule type="expression" dxfId="1" priority="730">
      <formula>IF(SUM(K12,Q12,W12,AC12,AI12,AO12,AU12,BA12)=0,1,0)</formula>
    </cfRule>
    <cfRule type="cellIs" dxfId="0" priority="731" operator="greaterThan">
      <formula>SUM(K12,Q12,W12,AC12,AI12,AO12,AU12,BA12)</formula>
    </cfRule>
    <cfRule type="cellIs" dxfId="3" priority="732" operator="greaterThan">
      <formula>SUM(IF(ISNUMBER(M12),L12,0),IF(ISNUMBER(S12),R12,0),IF(ISNUMBER(Y12),X12,0),IF(ISNUMBER(AE12),AD12,0),IF(ISNUMBER(AK12),AJ12,0),IF(ISNUMBER(AQ12),AP12,0),IF(ISNUMBER(AW12),AV12,0),IF(ISNUMBER(BC12),BB12,0))</formula>
    </cfRule>
  </conditionalFormatting>
  <conditionalFormatting sqref="H13">
    <cfRule type="expression" dxfId="4" priority="733">
      <formula>AND(ISBLANK(G13),ISBLANK(O13),ISBLANK(U13),ISBLANK(AA13),ISBLANK(AG13),ISBLANK(AM13),ISBLANK(AS13),ISBLANK(AY13),ISBLANK(BE13))</formula>
    </cfRule>
    <cfRule type="expression" dxfId="1" priority="734">
      <formula>IF(SUM(K13,Q13,W13,AC13,AI13,AO13,AU13,BA13)=0,1,0)</formula>
    </cfRule>
    <cfRule type="cellIs" dxfId="0" priority="735" operator="greaterThan">
      <formula>SUM(K13,Q13,W13,AC13,AI13,AO13,AU13,BA13)</formula>
    </cfRule>
    <cfRule type="cellIs" dxfId="3" priority="736" operator="greaterThan">
      <formula>SUM(IF(ISNUMBER(M13),L13,0),IF(ISNUMBER(S13),R13,0),IF(ISNUMBER(Y13),X13,0),IF(ISNUMBER(AE13),AD13,0),IF(ISNUMBER(AK13),AJ13,0),IF(ISNUMBER(AQ13),AP13,0),IF(ISNUMBER(AW13),AV13,0),IF(ISNUMBER(BC13),BB13,0))</formula>
    </cfRule>
  </conditionalFormatting>
  <conditionalFormatting sqref="H14">
    <cfRule type="expression" dxfId="4" priority="737">
      <formula>AND(ISBLANK(G14),ISBLANK(O14),ISBLANK(U14),ISBLANK(AA14),ISBLANK(AG14),ISBLANK(AM14),ISBLANK(AS14),ISBLANK(AY14),ISBLANK(BE14))</formula>
    </cfRule>
    <cfRule type="expression" dxfId="1" priority="738">
      <formula>IF(SUM(K14,Q14,W14,AC14,AI14,AO14,AU14,BA14)=0,1,0)</formula>
    </cfRule>
    <cfRule type="cellIs" dxfId="0" priority="739" operator="greaterThan">
      <formula>SUM(K14,Q14,W14,AC14,AI14,AO14,AU14,BA14)</formula>
    </cfRule>
    <cfRule type="cellIs" dxfId="3" priority="740" operator="greaterThan">
      <formula>SUM(IF(ISNUMBER(M14),L14,0),IF(ISNUMBER(S14),R14,0),IF(ISNUMBER(Y14),X14,0),IF(ISNUMBER(AE14),AD14,0),IF(ISNUMBER(AK14),AJ14,0),IF(ISNUMBER(AQ14),AP14,0),IF(ISNUMBER(AW14),AV14,0),IF(ISNUMBER(BC14),BB14,0))</formula>
    </cfRule>
  </conditionalFormatting>
  <conditionalFormatting sqref="H15">
    <cfRule type="expression" dxfId="4" priority="741">
      <formula>AND(ISBLANK(G15),ISBLANK(O15),ISBLANK(U15),ISBLANK(AA15),ISBLANK(AG15),ISBLANK(AM15),ISBLANK(AS15),ISBLANK(AY15),ISBLANK(BE15))</formula>
    </cfRule>
    <cfRule type="expression" dxfId="1" priority="742">
      <formula>IF(SUM(K15,Q15,W15,AC15,AI15,AO15,AU15,BA15)=0,1,0)</formula>
    </cfRule>
    <cfRule type="cellIs" dxfId="0" priority="743" operator="greaterThan">
      <formula>SUM(K15,Q15,W15,AC15,AI15,AO15,AU15,BA15)</formula>
    </cfRule>
    <cfRule type="cellIs" dxfId="3" priority="744" operator="greaterThan">
      <formula>SUM(IF(ISNUMBER(M15),L15,0),IF(ISNUMBER(S15),R15,0),IF(ISNUMBER(Y15),X15,0),IF(ISNUMBER(AE15),AD15,0),IF(ISNUMBER(AK15),AJ15,0),IF(ISNUMBER(AQ15),AP15,0),IF(ISNUMBER(AW15),AV15,0),IF(ISNUMBER(BC15),BB15,0))</formula>
    </cfRule>
  </conditionalFormatting>
  <conditionalFormatting sqref="H16">
    <cfRule type="expression" dxfId="4" priority="745">
      <formula>AND(ISBLANK(G16),ISBLANK(O16),ISBLANK(U16),ISBLANK(AA16),ISBLANK(AG16),ISBLANK(AM16),ISBLANK(AS16),ISBLANK(AY16),ISBLANK(BE16))</formula>
    </cfRule>
    <cfRule type="expression" dxfId="1" priority="746">
      <formula>IF(SUM(K16,Q16,W16,AC16,AI16,AO16,AU16,BA16)=0,1,0)</formula>
    </cfRule>
    <cfRule type="cellIs" dxfId="0" priority="747" operator="greaterThan">
      <formula>SUM(K16,Q16,W16,AC16,AI16,AO16,AU16,BA16)</formula>
    </cfRule>
    <cfRule type="cellIs" dxfId="3" priority="748" operator="greaterThan">
      <formula>SUM(IF(ISNUMBER(M16),L16,0),IF(ISNUMBER(S16),R16,0),IF(ISNUMBER(Y16),X16,0),IF(ISNUMBER(AE16),AD16,0),IF(ISNUMBER(AK16),AJ16,0),IF(ISNUMBER(AQ16),AP16,0),IF(ISNUMBER(AW16),AV16,0),IF(ISNUMBER(BC16),BB16,0))</formula>
    </cfRule>
  </conditionalFormatting>
  <conditionalFormatting sqref="H17">
    <cfRule type="expression" dxfId="4" priority="749">
      <formula>AND(ISBLANK(G17),ISBLANK(O17),ISBLANK(U17),ISBLANK(AA17),ISBLANK(AG17),ISBLANK(AM17),ISBLANK(AS17),ISBLANK(AY17),ISBLANK(BE17))</formula>
    </cfRule>
    <cfRule type="expression" dxfId="1" priority="750">
      <formula>IF(SUM(K17,Q17,W17,AC17,AI17,AO17,AU17,BA17)=0,1,0)</formula>
    </cfRule>
    <cfRule type="cellIs" dxfId="0" priority="751" operator="greaterThan">
      <formula>SUM(K17,Q17,W17,AC17,AI17,AO17,AU17,BA17)</formula>
    </cfRule>
    <cfRule type="cellIs" dxfId="3" priority="752" operator="greaterThan">
      <formula>SUM(IF(ISNUMBER(M17),L17,0),IF(ISNUMBER(S17),R17,0),IF(ISNUMBER(Y17),X17,0),IF(ISNUMBER(AE17),AD17,0),IF(ISNUMBER(AK17),AJ17,0),IF(ISNUMBER(AQ17),AP17,0),IF(ISNUMBER(AW17),AV17,0),IF(ISNUMBER(BC17),BB17,0))</formula>
    </cfRule>
  </conditionalFormatting>
  <conditionalFormatting sqref="H18">
    <cfRule type="expression" dxfId="4" priority="753">
      <formula>AND(ISBLANK(G18),ISBLANK(O18),ISBLANK(U18),ISBLANK(AA18),ISBLANK(AG18),ISBLANK(AM18),ISBLANK(AS18),ISBLANK(AY18),ISBLANK(BE18))</formula>
    </cfRule>
    <cfRule type="expression" dxfId="1" priority="754">
      <formula>IF(SUM(K18,Q18,W18,AC18,AI18,AO18,AU18,BA18)=0,1,0)</formula>
    </cfRule>
    <cfRule type="cellIs" dxfId="0" priority="755" operator="greaterThan">
      <formula>SUM(K18,Q18,W18,AC18,AI18,AO18,AU18,BA18)</formula>
    </cfRule>
    <cfRule type="cellIs" dxfId="3" priority="756" operator="greaterThan">
      <formula>SUM(IF(ISNUMBER(M18),L18,0),IF(ISNUMBER(S18),R18,0),IF(ISNUMBER(Y18),X18,0),IF(ISNUMBER(AE18),AD18,0),IF(ISNUMBER(AK18),AJ18,0),IF(ISNUMBER(AQ18),AP18,0),IF(ISNUMBER(AW18),AV18,0),IF(ISNUMBER(BC18),BB18,0))</formula>
    </cfRule>
  </conditionalFormatting>
  <conditionalFormatting sqref="H19">
    <cfRule type="expression" dxfId="4" priority="757">
      <formula>AND(ISBLANK(G19),ISBLANK(O19),ISBLANK(U19),ISBLANK(AA19),ISBLANK(AG19),ISBLANK(AM19),ISBLANK(AS19),ISBLANK(AY19),ISBLANK(BE19))</formula>
    </cfRule>
    <cfRule type="expression" dxfId="1" priority="758">
      <formula>IF(SUM(K19,Q19,W19,AC19,AI19,AO19,AU19,BA19)=0,1,0)</formula>
    </cfRule>
    <cfRule type="cellIs" dxfId="0" priority="759" operator="greaterThan">
      <formula>SUM(K19,Q19,W19,AC19,AI19,AO19,AU19,BA19)</formula>
    </cfRule>
    <cfRule type="cellIs" dxfId="3" priority="760" operator="greaterThan">
      <formula>SUM(IF(ISNUMBER(M19),L19,0),IF(ISNUMBER(S19),R19,0),IF(ISNUMBER(Y19),X19,0),IF(ISNUMBER(AE19),AD19,0),IF(ISNUMBER(AK19),AJ19,0),IF(ISNUMBER(AQ19),AP19,0),IF(ISNUMBER(AW19),AV19,0),IF(ISNUMBER(BC19),BB19,0))</formula>
    </cfRule>
  </conditionalFormatting>
  <conditionalFormatting sqref="H20">
    <cfRule type="expression" dxfId="4" priority="761">
      <formula>AND(ISBLANK(G20),ISBLANK(O20),ISBLANK(U20),ISBLANK(AA20),ISBLANK(AG20),ISBLANK(AM20),ISBLANK(AS20),ISBLANK(AY20),ISBLANK(BE20))</formula>
    </cfRule>
    <cfRule type="expression" dxfId="1" priority="762">
      <formula>IF(SUM(K20,Q20,W20,AC20,AI20,AO20,AU20,BA20)=0,1,0)</formula>
    </cfRule>
    <cfRule type="cellIs" dxfId="0" priority="763" operator="greaterThan">
      <formula>SUM(K20,Q20,W20,AC20,AI20,AO20,AU20,BA20)</formula>
    </cfRule>
    <cfRule type="cellIs" dxfId="3" priority="764" operator="greaterThan">
      <formula>SUM(IF(ISNUMBER(M20),L20,0),IF(ISNUMBER(S20),R20,0),IF(ISNUMBER(Y20),X20,0),IF(ISNUMBER(AE20),AD20,0),IF(ISNUMBER(AK20),AJ20,0),IF(ISNUMBER(AQ20),AP20,0),IF(ISNUMBER(AW20),AV20,0),IF(ISNUMBER(BC20),BB20,0))</formula>
    </cfRule>
  </conditionalFormatting>
  <conditionalFormatting sqref="H21">
    <cfRule type="expression" dxfId="4" priority="765">
      <formula>AND(ISBLANK(G21),ISBLANK(O21),ISBLANK(U21),ISBLANK(AA21),ISBLANK(AG21),ISBLANK(AM21),ISBLANK(AS21),ISBLANK(AY21),ISBLANK(BE21))</formula>
    </cfRule>
    <cfRule type="expression" dxfId="1" priority="766">
      <formula>IF(SUM(K21,Q21,W21,AC21,AI21,AO21,AU21,BA21)=0,1,0)</formula>
    </cfRule>
    <cfRule type="cellIs" dxfId="0" priority="767" operator="greaterThan">
      <formula>SUM(K21,Q21,W21,AC21,AI21,AO21,AU21,BA21)</formula>
    </cfRule>
    <cfRule type="cellIs" dxfId="3" priority="768" operator="greaterThan">
      <formula>SUM(IF(ISNUMBER(M21),L21,0),IF(ISNUMBER(S21),R21,0),IF(ISNUMBER(Y21),X21,0),IF(ISNUMBER(AE21),AD21,0),IF(ISNUMBER(AK21),AJ21,0),IF(ISNUMBER(AQ21),AP21,0),IF(ISNUMBER(AW21),AV21,0),IF(ISNUMBER(BC21),BB21,0))</formula>
    </cfRule>
  </conditionalFormatting>
  <conditionalFormatting sqref="H22">
    <cfRule type="expression" dxfId="4" priority="769">
      <formula>AND(ISBLANK(G22),ISBLANK(O22),ISBLANK(U22),ISBLANK(AA22),ISBLANK(AG22),ISBLANK(AM22),ISBLANK(AS22),ISBLANK(AY22),ISBLANK(BE22))</formula>
    </cfRule>
    <cfRule type="expression" dxfId="1" priority="770">
      <formula>IF(SUM(K22,Q22,W22,AC22,AI22,AO22,AU22,BA22)=0,1,0)</formula>
    </cfRule>
    <cfRule type="cellIs" dxfId="0" priority="771" operator="greaterThan">
      <formula>SUM(K22,Q22,W22,AC22,AI22,AO22,AU22,BA22)</formula>
    </cfRule>
    <cfRule type="cellIs" dxfId="3" priority="772" operator="greaterThan">
      <formula>SUM(IF(ISNUMBER(M22),L22,0),IF(ISNUMBER(S22),R22,0),IF(ISNUMBER(Y22),X22,0),IF(ISNUMBER(AE22),AD22,0),IF(ISNUMBER(AK22),AJ22,0),IF(ISNUMBER(AQ22),AP22,0),IF(ISNUMBER(AW22),AV22,0),IF(ISNUMBER(BC22),BB22,0))</formula>
    </cfRule>
  </conditionalFormatting>
  <conditionalFormatting sqref="H23">
    <cfRule type="expression" dxfId="4" priority="773">
      <formula>AND(ISBLANK(G23),ISBLANK(O23),ISBLANK(U23),ISBLANK(AA23),ISBLANK(AG23),ISBLANK(AM23),ISBLANK(AS23),ISBLANK(AY23),ISBLANK(BE23))</formula>
    </cfRule>
    <cfRule type="expression" dxfId="1" priority="774">
      <formula>IF(SUM(K23,Q23,W23,AC23,AI23,AO23,AU23,BA23)=0,1,0)</formula>
    </cfRule>
    <cfRule type="cellIs" dxfId="0" priority="775" operator="greaterThan">
      <formula>SUM(K23,Q23,W23,AC23,AI23,AO23,AU23,BA23)</formula>
    </cfRule>
    <cfRule type="cellIs" dxfId="3" priority="776" operator="greaterThan">
      <formula>SUM(IF(ISNUMBER(M23),L23,0),IF(ISNUMBER(S23),R23,0),IF(ISNUMBER(Y23),X23,0),IF(ISNUMBER(AE23),AD23,0),IF(ISNUMBER(AK23),AJ23,0),IF(ISNUMBER(AQ23),AP23,0),IF(ISNUMBER(AW23),AV23,0),IF(ISNUMBER(BC23),BB23,0))</formula>
    </cfRule>
  </conditionalFormatting>
  <conditionalFormatting sqref="H24">
    <cfRule type="expression" dxfId="4" priority="777">
      <formula>AND(ISBLANK(G24),ISBLANK(O24),ISBLANK(U24),ISBLANK(AA24),ISBLANK(AG24),ISBLANK(AM24),ISBLANK(AS24),ISBLANK(AY24),ISBLANK(BE24))</formula>
    </cfRule>
    <cfRule type="expression" dxfId="1" priority="778">
      <formula>IF(SUM(K24,Q24,W24,AC24,AI24,AO24,AU24,BA24)=0,1,0)</formula>
    </cfRule>
    <cfRule type="cellIs" dxfId="0" priority="779" operator="greaterThan">
      <formula>SUM(K24,Q24,W24,AC24,AI24,AO24,AU24,BA24)</formula>
    </cfRule>
    <cfRule type="cellIs" dxfId="3" priority="780" operator="greaterThan">
      <formula>SUM(IF(ISNUMBER(M24),L24,0),IF(ISNUMBER(S24),R24,0),IF(ISNUMBER(Y24),X24,0),IF(ISNUMBER(AE24),AD24,0),IF(ISNUMBER(AK24),AJ24,0),IF(ISNUMBER(AQ24),AP24,0),IF(ISNUMBER(AW24),AV24,0),IF(ISNUMBER(BC24),BB24,0))</formula>
    </cfRule>
  </conditionalFormatting>
  <conditionalFormatting sqref="H25">
    <cfRule type="expression" dxfId="4" priority="781">
      <formula>AND(ISBLANK(G25),ISBLANK(O25),ISBLANK(U25),ISBLANK(AA25),ISBLANK(AG25),ISBLANK(AM25),ISBLANK(AS25),ISBLANK(AY25),ISBLANK(BE25))</formula>
    </cfRule>
    <cfRule type="expression" dxfId="1" priority="782">
      <formula>IF(SUM(K25,Q25,W25,AC25,AI25,AO25,AU25,BA25)=0,1,0)</formula>
    </cfRule>
    <cfRule type="cellIs" dxfId="0" priority="783" operator="greaterThan">
      <formula>SUM(K25,Q25,W25,AC25,AI25,AO25,AU25,BA25)</formula>
    </cfRule>
    <cfRule type="cellIs" dxfId="3" priority="784" operator="greaterThan">
      <formula>SUM(IF(ISNUMBER(M25),L25,0),IF(ISNUMBER(S25),R25,0),IF(ISNUMBER(Y25),X25,0),IF(ISNUMBER(AE25),AD25,0),IF(ISNUMBER(AK25),AJ25,0),IF(ISNUMBER(AQ25),AP25,0),IF(ISNUMBER(AW25),AV25,0),IF(ISNUMBER(BC25),BB25,0))</formula>
    </cfRule>
  </conditionalFormatting>
  <conditionalFormatting sqref="H26">
    <cfRule type="expression" dxfId="4" priority="785">
      <formula>AND(ISBLANK(G26),ISBLANK(O26),ISBLANK(U26),ISBLANK(AA26),ISBLANK(AG26),ISBLANK(AM26),ISBLANK(AS26),ISBLANK(AY26),ISBLANK(BE26))</formula>
    </cfRule>
    <cfRule type="expression" dxfId="1" priority="786">
      <formula>IF(SUM(K26,Q26,W26,AC26,AI26,AO26,AU26,BA26)=0,1,0)</formula>
    </cfRule>
    <cfRule type="cellIs" dxfId="0" priority="787" operator="greaterThan">
      <formula>SUM(K26,Q26,W26,AC26,AI26,AO26,AU26,BA26)</formula>
    </cfRule>
    <cfRule type="cellIs" dxfId="3" priority="788" operator="greaterThan">
      <formula>SUM(IF(ISNUMBER(M26),L26,0),IF(ISNUMBER(S26),R26,0),IF(ISNUMBER(Y26),X26,0),IF(ISNUMBER(AE26),AD26,0),IF(ISNUMBER(AK26),AJ26,0),IF(ISNUMBER(AQ26),AP26,0),IF(ISNUMBER(AW26),AV26,0),IF(ISNUMBER(BC26),BB26,0))</formula>
    </cfRule>
  </conditionalFormatting>
  <conditionalFormatting sqref="H27">
    <cfRule type="expression" dxfId="4" priority="789">
      <formula>AND(ISBLANK(G27),ISBLANK(O27),ISBLANK(U27),ISBLANK(AA27),ISBLANK(AG27),ISBLANK(AM27),ISBLANK(AS27),ISBLANK(AY27),ISBLANK(BE27))</formula>
    </cfRule>
    <cfRule type="expression" dxfId="1" priority="790">
      <formula>IF(SUM(K27,Q27,W27,AC27,AI27,AO27,AU27,BA27)=0,1,0)</formula>
    </cfRule>
    <cfRule type="cellIs" dxfId="0" priority="791" operator="greaterThan">
      <formula>SUM(K27,Q27,W27,AC27,AI27,AO27,AU27,BA27)</formula>
    </cfRule>
    <cfRule type="cellIs" dxfId="3" priority="792" operator="greaterThan">
      <formula>SUM(IF(ISNUMBER(M27),L27,0),IF(ISNUMBER(S27),R27,0),IF(ISNUMBER(Y27),X27,0),IF(ISNUMBER(AE27),AD27,0),IF(ISNUMBER(AK27),AJ27,0),IF(ISNUMBER(AQ27),AP27,0),IF(ISNUMBER(AW27),AV27,0),IF(ISNUMBER(BC27),BB27,0))</formula>
    </cfRule>
  </conditionalFormatting>
  <conditionalFormatting sqref="H28">
    <cfRule type="expression" dxfId="4" priority="793">
      <formula>AND(ISBLANK(G28),ISBLANK(O28),ISBLANK(U28),ISBLANK(AA28),ISBLANK(AG28),ISBLANK(AM28),ISBLANK(AS28),ISBLANK(AY28),ISBLANK(BE28))</formula>
    </cfRule>
    <cfRule type="expression" dxfId="1" priority="794">
      <formula>IF(SUM(K28,Q28,W28,AC28,AI28,AO28,AU28,BA28)=0,1,0)</formula>
    </cfRule>
    <cfRule type="cellIs" dxfId="0" priority="795" operator="greaterThan">
      <formula>SUM(K28,Q28,W28,AC28,AI28,AO28,AU28,BA28)</formula>
    </cfRule>
    <cfRule type="cellIs" dxfId="3" priority="796" operator="greaterThan">
      <formula>SUM(IF(ISNUMBER(M28),L28,0),IF(ISNUMBER(S28),R28,0),IF(ISNUMBER(Y28),X28,0),IF(ISNUMBER(AE28),AD28,0),IF(ISNUMBER(AK28),AJ28,0),IF(ISNUMBER(AQ28),AP28,0),IF(ISNUMBER(AW28),AV28,0),IF(ISNUMBER(BC28),BB28,0))</formula>
    </cfRule>
  </conditionalFormatting>
  <conditionalFormatting sqref="H29">
    <cfRule type="expression" dxfId="4" priority="797">
      <formula>AND(ISBLANK(G29),ISBLANK(O29),ISBLANK(U29),ISBLANK(AA29),ISBLANK(AG29),ISBLANK(AM29),ISBLANK(AS29),ISBLANK(AY29),ISBLANK(BE29))</formula>
    </cfRule>
    <cfRule type="expression" dxfId="1" priority="798">
      <formula>IF(SUM(K29,Q29,W29,AC29,AI29,AO29,AU29,BA29)=0,1,0)</formula>
    </cfRule>
    <cfRule type="cellIs" dxfId="0" priority="799" operator="greaterThan">
      <formula>SUM(K29,Q29,W29,AC29,AI29,AO29,AU29,BA29)</formula>
    </cfRule>
    <cfRule type="cellIs" dxfId="3" priority="800" operator="greaterThan">
      <formula>SUM(IF(ISNUMBER(M29),L29,0),IF(ISNUMBER(S29),R29,0),IF(ISNUMBER(Y29),X29,0),IF(ISNUMBER(AE29),AD29,0),IF(ISNUMBER(AK29),AJ29,0),IF(ISNUMBER(AQ29),AP29,0),IF(ISNUMBER(AW29),AV29,0),IF(ISNUMBER(BC29),BB29,0))</formula>
    </cfRule>
  </conditionalFormatting>
  <conditionalFormatting sqref="H30">
    <cfRule type="expression" dxfId="4" priority="801">
      <formula>AND(ISBLANK(G30),ISBLANK(O30),ISBLANK(U30),ISBLANK(AA30),ISBLANK(AG30),ISBLANK(AM30),ISBLANK(AS30),ISBLANK(AY30),ISBLANK(BE30))</formula>
    </cfRule>
    <cfRule type="expression" dxfId="1" priority="802">
      <formula>IF(SUM(K30,Q30,W30,AC30,AI30,AO30,AU30,BA30)=0,1,0)</formula>
    </cfRule>
    <cfRule type="cellIs" dxfId="0" priority="803" operator="greaterThan">
      <formula>SUM(K30,Q30,W30,AC30,AI30,AO30,AU30,BA30)</formula>
    </cfRule>
    <cfRule type="cellIs" dxfId="3" priority="804" operator="greaterThan">
      <formula>SUM(IF(ISNUMBER(M30),L30,0),IF(ISNUMBER(S30),R30,0),IF(ISNUMBER(Y30),X30,0),IF(ISNUMBER(AE30),AD30,0),IF(ISNUMBER(AK30),AJ30,0),IF(ISNUMBER(AQ30),AP30,0),IF(ISNUMBER(AW30),AV30,0),IF(ISNUMBER(BC30),BB30,0))</formula>
    </cfRule>
  </conditionalFormatting>
  <conditionalFormatting sqref="H31">
    <cfRule type="expression" dxfId="4" priority="805">
      <formula>AND(ISBLANK(G31),ISBLANK(O31),ISBLANK(U31),ISBLANK(AA31),ISBLANK(AG31),ISBLANK(AM31),ISBLANK(AS31),ISBLANK(AY31),ISBLANK(BE31))</formula>
    </cfRule>
    <cfRule type="expression" dxfId="1" priority="806">
      <formula>IF(SUM(K31,Q31,W31,AC31,AI31,AO31,AU31,BA31)=0,1,0)</formula>
    </cfRule>
    <cfRule type="cellIs" dxfId="0" priority="807" operator="greaterThan">
      <formula>SUM(K31,Q31,W31,AC31,AI31,AO31,AU31,BA31)</formula>
    </cfRule>
    <cfRule type="cellIs" dxfId="3" priority="808" operator="greaterThan">
      <formula>SUM(IF(ISNUMBER(M31),L31,0),IF(ISNUMBER(S31),R31,0),IF(ISNUMBER(Y31),X31,0),IF(ISNUMBER(AE31),AD31,0),IF(ISNUMBER(AK31),AJ31,0),IF(ISNUMBER(AQ31),AP31,0),IF(ISNUMBER(AW31),AV31,0),IF(ISNUMBER(BC31),BB31,0))</formula>
    </cfRule>
  </conditionalFormatting>
  <conditionalFormatting sqref="H32">
    <cfRule type="expression" dxfId="4" priority="809">
      <formula>AND(ISBLANK(G32),ISBLANK(O32),ISBLANK(U32),ISBLANK(AA32),ISBLANK(AG32),ISBLANK(AM32),ISBLANK(AS32),ISBLANK(AY32),ISBLANK(BE32))</formula>
    </cfRule>
    <cfRule type="expression" dxfId="1" priority="810">
      <formula>IF(SUM(K32,Q32,W32,AC32,AI32,AO32,AU32,BA32)=0,1,0)</formula>
    </cfRule>
    <cfRule type="cellIs" dxfId="0" priority="811" operator="greaterThan">
      <formula>SUM(K32,Q32,W32,AC32,AI32,AO32,AU32,BA32)</formula>
    </cfRule>
    <cfRule type="cellIs" dxfId="3" priority="812" operator="greaterThan">
      <formula>SUM(IF(ISNUMBER(M32),L32,0),IF(ISNUMBER(S32),R32,0),IF(ISNUMBER(Y32),X32,0),IF(ISNUMBER(AE32),AD32,0),IF(ISNUMBER(AK32),AJ32,0),IF(ISNUMBER(AQ32),AP32,0),IF(ISNUMBER(AW32),AV32,0),IF(ISNUMBER(BC32),BB32,0))</formula>
    </cfRule>
  </conditionalFormatting>
  <conditionalFormatting sqref="H33">
    <cfRule type="expression" dxfId="4" priority="813">
      <formula>AND(ISBLANK(G33),ISBLANK(O33),ISBLANK(U33),ISBLANK(AA33),ISBLANK(AG33),ISBLANK(AM33),ISBLANK(AS33),ISBLANK(AY33),ISBLANK(BE33))</formula>
    </cfRule>
    <cfRule type="expression" dxfId="1" priority="814">
      <formula>IF(SUM(K33,Q33,W33,AC33,AI33,AO33,AU33,BA33)=0,1,0)</formula>
    </cfRule>
    <cfRule type="cellIs" dxfId="0" priority="815" operator="greaterThan">
      <formula>SUM(K33,Q33,W33,AC33,AI33,AO33,AU33,BA33)</formula>
    </cfRule>
    <cfRule type="cellIs" dxfId="3" priority="816" operator="greaterThan">
      <formula>SUM(IF(ISNUMBER(M33),L33,0),IF(ISNUMBER(S33),R33,0),IF(ISNUMBER(Y33),X33,0),IF(ISNUMBER(AE33),AD33,0),IF(ISNUMBER(AK33),AJ33,0),IF(ISNUMBER(AQ33),AP33,0),IF(ISNUMBER(AW33),AV33,0),IF(ISNUMBER(BC33),BB33,0))</formula>
    </cfRule>
  </conditionalFormatting>
  <conditionalFormatting sqref="H34">
    <cfRule type="expression" dxfId="4" priority="817">
      <formula>AND(ISBLANK(G34),ISBLANK(O34),ISBLANK(U34),ISBLANK(AA34),ISBLANK(AG34),ISBLANK(AM34),ISBLANK(AS34),ISBLANK(AY34),ISBLANK(BE34))</formula>
    </cfRule>
    <cfRule type="expression" dxfId="1" priority="818">
      <formula>IF(SUM(K34,Q34,W34,AC34,AI34,AO34,AU34,BA34)=0,1,0)</formula>
    </cfRule>
    <cfRule type="cellIs" dxfId="0" priority="819" operator="greaterThan">
      <formula>SUM(K34,Q34,W34,AC34,AI34,AO34,AU34,BA34)</formula>
    </cfRule>
    <cfRule type="cellIs" dxfId="3" priority="820" operator="greaterThan">
      <formula>SUM(IF(ISNUMBER(M34),L34,0),IF(ISNUMBER(S34),R34,0),IF(ISNUMBER(Y34),X34,0),IF(ISNUMBER(AE34),AD34,0),IF(ISNUMBER(AK34),AJ34,0),IF(ISNUMBER(AQ34),AP34,0),IF(ISNUMBER(AW34),AV34,0),IF(ISNUMBER(BC34),BB34,0))</formula>
    </cfRule>
  </conditionalFormatting>
  <conditionalFormatting sqref="H35">
    <cfRule type="expression" dxfId="4" priority="821">
      <formula>AND(ISBLANK(G35),ISBLANK(O35),ISBLANK(U35),ISBLANK(AA35),ISBLANK(AG35),ISBLANK(AM35),ISBLANK(AS35),ISBLANK(AY35),ISBLANK(BE35))</formula>
    </cfRule>
    <cfRule type="expression" dxfId="1" priority="822">
      <formula>IF(SUM(K35,Q35,W35,AC35,AI35,AO35,AU35,BA35)=0,1,0)</formula>
    </cfRule>
    <cfRule type="cellIs" dxfId="0" priority="823" operator="greaterThan">
      <formula>SUM(K35,Q35,W35,AC35,AI35,AO35,AU35,BA35)</formula>
    </cfRule>
    <cfRule type="cellIs" dxfId="3" priority="824" operator="greaterThan">
      <formula>SUM(IF(ISNUMBER(M35),L35,0),IF(ISNUMBER(S35),R35,0),IF(ISNUMBER(Y35),X35,0),IF(ISNUMBER(AE35),AD35,0),IF(ISNUMBER(AK35),AJ35,0),IF(ISNUMBER(AQ35),AP35,0),IF(ISNUMBER(AW35),AV35,0),IF(ISNUMBER(BC35),BB35,0))</formula>
    </cfRule>
  </conditionalFormatting>
  <conditionalFormatting sqref="H36">
    <cfRule type="expression" dxfId="4" priority="825">
      <formula>AND(ISBLANK(G36),ISBLANK(O36),ISBLANK(U36),ISBLANK(AA36),ISBLANK(AG36),ISBLANK(AM36),ISBLANK(AS36),ISBLANK(AY36),ISBLANK(BE36))</formula>
    </cfRule>
    <cfRule type="expression" dxfId="1" priority="826">
      <formula>IF(SUM(K36,Q36,W36,AC36,AI36,AO36,AU36,BA36)=0,1,0)</formula>
    </cfRule>
    <cfRule type="cellIs" dxfId="0" priority="827" operator="greaterThan">
      <formula>SUM(K36,Q36,W36,AC36,AI36,AO36,AU36,BA36)</formula>
    </cfRule>
    <cfRule type="cellIs" dxfId="3" priority="828" operator="greaterThan">
      <formula>SUM(IF(ISNUMBER(M36),L36,0),IF(ISNUMBER(S36),R36,0),IF(ISNUMBER(Y36),X36,0),IF(ISNUMBER(AE36),AD36,0),IF(ISNUMBER(AK36),AJ36,0),IF(ISNUMBER(AQ36),AP36,0),IF(ISNUMBER(AW36),AV36,0),IF(ISNUMBER(BC36),BB36,0))</formula>
    </cfRule>
  </conditionalFormatting>
  <conditionalFormatting sqref="H37">
    <cfRule type="expression" dxfId="4" priority="829">
      <formula>AND(ISBLANK(G37),ISBLANK(O37),ISBLANK(U37),ISBLANK(AA37),ISBLANK(AG37),ISBLANK(AM37),ISBLANK(AS37),ISBLANK(AY37),ISBLANK(BE37))</formula>
    </cfRule>
    <cfRule type="expression" dxfId="1" priority="830">
      <formula>IF(SUM(K37,Q37,W37,AC37,AI37,AO37,AU37,BA37)=0,1,0)</formula>
    </cfRule>
    <cfRule type="cellIs" dxfId="0" priority="831" operator="greaterThan">
      <formula>SUM(K37,Q37,W37,AC37,AI37,AO37,AU37,BA37)</formula>
    </cfRule>
    <cfRule type="cellIs" dxfId="3" priority="832" operator="greaterThan">
      <formula>SUM(IF(ISNUMBER(M37),L37,0),IF(ISNUMBER(S37),R37,0),IF(ISNUMBER(Y37),X37,0),IF(ISNUMBER(AE37),AD37,0),IF(ISNUMBER(AK37),AJ37,0),IF(ISNUMBER(AQ37),AP37,0),IF(ISNUMBER(AW37),AV37,0),IF(ISNUMBER(BC37),BB37,0))</formula>
    </cfRule>
  </conditionalFormatting>
  <conditionalFormatting sqref="H38">
    <cfRule type="expression" dxfId="4" priority="833">
      <formula>AND(ISBLANK(G38),ISBLANK(O38),ISBLANK(U38),ISBLANK(AA38),ISBLANK(AG38),ISBLANK(AM38),ISBLANK(AS38),ISBLANK(AY38),ISBLANK(BE38))</formula>
    </cfRule>
    <cfRule type="expression" dxfId="1" priority="834">
      <formula>IF(SUM(K38,Q38,W38,AC38,AI38,AO38,AU38,BA38)=0,1,0)</formula>
    </cfRule>
    <cfRule type="cellIs" dxfId="0" priority="835" operator="greaterThan">
      <formula>SUM(K38,Q38,W38,AC38,AI38,AO38,AU38,BA38)</formula>
    </cfRule>
    <cfRule type="cellIs" dxfId="3" priority="836" operator="greaterThan">
      <formula>SUM(IF(ISNUMBER(M38),L38,0),IF(ISNUMBER(S38),R38,0),IF(ISNUMBER(Y38),X38,0),IF(ISNUMBER(AE38),AD38,0),IF(ISNUMBER(AK38),AJ38,0),IF(ISNUMBER(AQ38),AP38,0),IF(ISNUMBER(AW38),AV38,0),IF(ISNUMBER(BC38),BB38,0))</formula>
    </cfRule>
  </conditionalFormatting>
  <conditionalFormatting sqref="H39">
    <cfRule type="expression" dxfId="4" priority="837">
      <formula>AND(ISBLANK(G39),ISBLANK(O39),ISBLANK(U39),ISBLANK(AA39),ISBLANK(AG39),ISBLANK(AM39),ISBLANK(AS39),ISBLANK(AY39),ISBLANK(BE39))</formula>
    </cfRule>
    <cfRule type="expression" dxfId="1" priority="838">
      <formula>IF(SUM(K39,Q39,W39,AC39,AI39,AO39,AU39,BA39)=0,1,0)</formula>
    </cfRule>
    <cfRule type="cellIs" dxfId="0" priority="839" operator="greaterThan">
      <formula>SUM(K39,Q39,W39,AC39,AI39,AO39,AU39,BA39)</formula>
    </cfRule>
    <cfRule type="cellIs" dxfId="3" priority="840" operator="greaterThan">
      <formula>SUM(IF(ISNUMBER(M39),L39,0),IF(ISNUMBER(S39),R39,0),IF(ISNUMBER(Y39),X39,0),IF(ISNUMBER(AE39),AD39,0),IF(ISNUMBER(AK39),AJ39,0),IF(ISNUMBER(AQ39),AP39,0),IF(ISNUMBER(AW39),AV39,0),IF(ISNUMBER(BC39),BB39,0))</formula>
    </cfRule>
  </conditionalFormatting>
  <conditionalFormatting sqref="H40">
    <cfRule type="expression" dxfId="4" priority="841">
      <formula>AND(ISBLANK(G40),ISBLANK(O40),ISBLANK(U40),ISBLANK(AA40),ISBLANK(AG40),ISBLANK(AM40),ISBLANK(AS40),ISBLANK(AY40),ISBLANK(BE40))</formula>
    </cfRule>
    <cfRule type="expression" dxfId="1" priority="842">
      <formula>IF(SUM(K40,Q40,W40,AC40,AI40,AO40,AU40,BA40)=0,1,0)</formula>
    </cfRule>
    <cfRule type="cellIs" dxfId="0" priority="843" operator="greaterThan">
      <formula>SUM(K40,Q40,W40,AC40,AI40,AO40,AU40,BA40)</formula>
    </cfRule>
    <cfRule type="cellIs" dxfId="3" priority="844" operator="greaterThan">
      <formula>SUM(IF(ISNUMBER(M40),L40,0),IF(ISNUMBER(S40),R40,0),IF(ISNUMBER(Y40),X40,0),IF(ISNUMBER(AE40),AD40,0),IF(ISNUMBER(AK40),AJ40,0),IF(ISNUMBER(AQ40),AP40,0),IF(ISNUMBER(AW40),AV40,0),IF(ISNUMBER(BC40),BB40,0))</formula>
    </cfRule>
  </conditionalFormatting>
  <conditionalFormatting sqref="H41">
    <cfRule type="expression" dxfId="4" priority="845">
      <formula>AND(ISBLANK(G41),ISBLANK(O41),ISBLANK(U41),ISBLANK(AA41),ISBLANK(AG41),ISBLANK(AM41),ISBLANK(AS41),ISBLANK(AY41),ISBLANK(BE41))</formula>
    </cfRule>
    <cfRule type="expression" dxfId="1" priority="846">
      <formula>IF(SUM(K41,Q41,W41,AC41,AI41,AO41,AU41,BA41)=0,1,0)</formula>
    </cfRule>
    <cfRule type="cellIs" dxfId="0" priority="847" operator="greaterThan">
      <formula>SUM(K41,Q41,W41,AC41,AI41,AO41,AU41,BA41)</formula>
    </cfRule>
    <cfRule type="cellIs" dxfId="3" priority="848" operator="greaterThan">
      <formula>SUM(IF(ISNUMBER(M41),L41,0),IF(ISNUMBER(S41),R41,0),IF(ISNUMBER(Y41),X41,0),IF(ISNUMBER(AE41),AD41,0),IF(ISNUMBER(AK41),AJ41,0),IF(ISNUMBER(AQ41),AP41,0),IF(ISNUMBER(AW41),AV41,0),IF(ISNUMBER(BC41),BB41,0))</formula>
    </cfRule>
  </conditionalFormatting>
  <conditionalFormatting sqref="H7">
    <cfRule type="expression" dxfId="4" priority="709">
      <formula>AND(ISBLANK(G7),ISBLANK(O7),ISBLANK(U7),ISBLANK(AA7),ISBLANK(AG7),ISBLANK(AM7),ISBLANK(AS7),ISBLANK(AY7),ISBLANK(BE7))</formula>
    </cfRule>
    <cfRule type="expression" dxfId="1" priority="710">
      <formula>IF(SUM(K7,Q7,W7,AC7,AI7,AO7,AU7,BA7)=0,1,0)</formula>
    </cfRule>
    <cfRule type="cellIs" dxfId="0" priority="711" operator="greaterThan">
      <formula>SUM(K7,Q7,W7,AC7,AI7,AO7,AU7,BA7)</formula>
    </cfRule>
    <cfRule type="cellIs" dxfId="3" priority="712" operator="greaterThan">
      <formula>SUM(IF(ISNUMBER(M7),L7,0),IF(ISNUMBER(S7),R7,0),IF(ISNUMBER(Y7),X7,0),IF(ISNUMBER(AE7),AD7,0),IF(ISNUMBER(AK7),AJ7,0),IF(ISNUMBER(AQ7),AP7,0),IF(ISNUMBER(AW7),AV7,0),IF(ISNUMBER(BC7),BB7,0))</formula>
    </cfRule>
  </conditionalFormatting>
  <conditionalFormatting sqref="H8">
    <cfRule type="expression" dxfId="4" priority="713">
      <formula>AND(ISBLANK(G8),ISBLANK(O8),ISBLANK(U8),ISBLANK(AA8),ISBLANK(AG8),ISBLANK(AM8),ISBLANK(AS8),ISBLANK(AY8),ISBLANK(BE8))</formula>
    </cfRule>
    <cfRule type="expression" dxfId="1" priority="714">
      <formula>IF(SUM(K8,Q8,W8,AC8,AI8,AO8,AU8,BA8)=0,1,0)</formula>
    </cfRule>
    <cfRule type="cellIs" dxfId="0" priority="715" operator="greaterThan">
      <formula>SUM(K8,Q8,W8,AC8,AI8,AO8,AU8,BA8)</formula>
    </cfRule>
    <cfRule type="cellIs" dxfId="3" priority="716" operator="greaterThan">
      <formula>SUM(IF(ISNUMBER(M8),L8,0),IF(ISNUMBER(S8),R8,0),IF(ISNUMBER(Y8),X8,0),IF(ISNUMBER(AE8),AD8,0),IF(ISNUMBER(AK8),AJ8,0),IF(ISNUMBER(AQ8),AP8,0),IF(ISNUMBER(AW8),AV8,0),IF(ISNUMBER(BC8),BB8,0))</formula>
    </cfRule>
  </conditionalFormatting>
  <conditionalFormatting sqref="H9">
    <cfRule type="expression" dxfId="4" priority="717">
      <formula>AND(ISBLANK(G9),ISBLANK(O9),ISBLANK(U9),ISBLANK(AA9),ISBLANK(AG9),ISBLANK(AM9),ISBLANK(AS9),ISBLANK(AY9),ISBLANK(BE9))</formula>
    </cfRule>
    <cfRule type="expression" dxfId="1" priority="718">
      <formula>IF(SUM(K9,Q9,W9,AC9,AI9,AO9,AU9,BA9)=0,1,0)</formula>
    </cfRule>
    <cfRule type="cellIs" dxfId="0" priority="719" operator="greaterThan">
      <formula>SUM(K9,Q9,W9,AC9,AI9,AO9,AU9,BA9)</formula>
    </cfRule>
    <cfRule type="cellIs" dxfId="3" priority="720" operator="greaterThan">
      <formula>SUM(IF(ISNUMBER(M9),L9,0),IF(ISNUMBER(S9),R9,0),IF(ISNUMBER(Y9),X9,0),IF(ISNUMBER(AE9),AD9,0),IF(ISNUMBER(AK9),AJ9,0),IF(ISNUMBER(AQ9),AP9,0),IF(ISNUMBER(AW9),AV9,0),IF(ISNUMBER(BC9),BB9,0))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20">
    <cfRule type="cellIs" dxfId="0" priority="21" operator="lessThan">
      <formula>H20</formula>
    </cfRule>
  </conditionalFormatting>
  <conditionalFormatting sqref="K22">
    <cfRule type="cellIs" dxfId="0" priority="25" operator="lessThan">
      <formula>H22</formula>
    </cfRule>
  </conditionalFormatting>
  <conditionalFormatting sqref="K23">
    <cfRule type="cellIs" dxfId="0" priority="29" operator="lessThan">
      <formula>H23</formula>
    </cfRule>
  </conditionalFormatting>
  <conditionalFormatting sqref="K24">
    <cfRule type="cellIs" dxfId="0" priority="33" operator="lessThan">
      <formula>H24</formula>
    </cfRule>
  </conditionalFormatting>
  <conditionalFormatting sqref="K26">
    <cfRule type="cellIs" dxfId="0" priority="37" operator="lessThan">
      <formula>H26</formula>
    </cfRule>
  </conditionalFormatting>
  <conditionalFormatting sqref="K27">
    <cfRule type="cellIs" dxfId="0" priority="41" operator="lessThan">
      <formula>H27</formula>
    </cfRule>
  </conditionalFormatting>
  <conditionalFormatting sqref="K28">
    <cfRule type="cellIs" dxfId="0" priority="49" operator="lessThan">
      <formula>H28</formula>
    </cfRule>
  </conditionalFormatting>
  <conditionalFormatting sqref="K37">
    <cfRule type="cellIs" dxfId="0" priority="53" operator="lessThan">
      <formula>H37</formula>
    </cfRule>
  </conditionalFormatting>
  <conditionalFormatting sqref="K39">
    <cfRule type="cellIs" dxfId="0" priority="57" operator="lessThan">
      <formula>H39</formula>
    </cfRule>
  </conditionalFormatting>
  <conditionalFormatting sqref="K8">
    <cfRule type="cellIs" dxfId="0" priority="1" operator="lessThan">
      <formula>H8</formula>
    </cfRule>
  </conditionalFormatting>
  <conditionalFormatting sqref="K9">
    <cfRule type="cellIs" dxfId="0" priority="5" operator="lessThan">
      <formula>H9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20">
    <cfRule type="expression" dxfId="1" priority="22">
      <formula>AND(NOT(ISBLANK(L20)),OR(K20="NonStk",L20&gt;K20))</formula>
    </cfRule>
  </conditionalFormatting>
  <conditionalFormatting sqref="L22">
    <cfRule type="expression" dxfId="1" priority="26">
      <formula>AND(NOT(ISBLANK(L22)),OR(K22="NonStk",L22&gt;K22))</formula>
    </cfRule>
  </conditionalFormatting>
  <conditionalFormatting sqref="L23">
    <cfRule type="expression" dxfId="1" priority="30">
      <formula>AND(NOT(ISBLANK(L23)),OR(K23="NonStk",L23&gt;K23))</formula>
    </cfRule>
  </conditionalFormatting>
  <conditionalFormatting sqref="L24">
    <cfRule type="expression" dxfId="1" priority="34">
      <formula>AND(NOT(ISBLANK(L24)),OR(K24="NonStk",L24&gt;K24))</formula>
    </cfRule>
  </conditionalFormatting>
  <conditionalFormatting sqref="L26">
    <cfRule type="expression" dxfId="1" priority="38">
      <formula>AND(NOT(ISBLANK(L26)),OR(K26="NonStk",L26&gt;K26))</formula>
    </cfRule>
  </conditionalFormatting>
  <conditionalFormatting sqref="L27">
    <cfRule type="expression" dxfId="3" priority="42">
      <formula>AND(L27&gt;0,MOD(L27,N27)&lt;&gt;0)</formula>
    </cfRule>
    <cfRule type="expression" dxfId="1" priority="43">
      <formula>AND(NOT(ISBLANK(L27)),OR(K27="NonStk",L27&gt;K27))</formula>
    </cfRule>
  </conditionalFormatting>
  <conditionalFormatting sqref="L28">
    <cfRule type="expression" dxfId="1" priority="50">
      <formula>AND(NOT(ISBLANK(L28)),OR(K28="NonStk",L28&gt;K28))</formula>
    </cfRule>
  </conditionalFormatting>
  <conditionalFormatting sqref="L37">
    <cfRule type="expression" dxfId="1" priority="54">
      <formula>AND(NOT(ISBLANK(L37)),OR(K37="NonStk",L37&gt;K37))</formula>
    </cfRule>
  </conditionalFormatting>
  <conditionalFormatting sqref="L39">
    <cfRule type="expression" dxfId="1" priority="58">
      <formula>AND(NOT(ISBLANK(L39)),OR(K39="NonStk",L39&gt;K39))</formula>
    </cfRule>
  </conditionalFormatting>
  <conditionalFormatting sqref="L8">
    <cfRule type="expression" dxfId="1" priority="2">
      <formula>AND(NOT(ISBLANK(L8)),OR(K8="NonStk",L8&gt;K8))</formula>
    </cfRule>
  </conditionalFormatting>
  <conditionalFormatting sqref="L9">
    <cfRule type="expression" dxfId="1" priority="6">
      <formula>AND(NOT(ISBLANK(L9)),OR(K9="NonStk",L9&gt;K9))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20">
    <cfRule type="cellIs" dxfId="2" priority="24" operator="lessThanOrEqual">
      <formula>I20</formula>
    </cfRule>
  </conditionalFormatting>
  <conditionalFormatting sqref="M22">
    <cfRule type="cellIs" dxfId="2" priority="28" operator="lessThanOrEqual">
      <formula>I22</formula>
    </cfRule>
  </conditionalFormatting>
  <conditionalFormatting sqref="M23">
    <cfRule type="cellIs" dxfId="2" priority="32" operator="lessThanOrEqual">
      <formula>I23</formula>
    </cfRule>
  </conditionalFormatting>
  <conditionalFormatting sqref="M24">
    <cfRule type="cellIs" dxfId="2" priority="36" operator="lessThanOrEqual">
      <formula>I24</formula>
    </cfRule>
  </conditionalFormatting>
  <conditionalFormatting sqref="M26">
    <cfRule type="cellIs" dxfId="2" priority="40" operator="lessThanOrEqual">
      <formula>I26</formula>
    </cfRule>
  </conditionalFormatting>
  <conditionalFormatting sqref="M27">
    <cfRule type="cellIs" dxfId="2" priority="45" operator="lessThanOrEqual">
      <formula>I27</formula>
    </cfRule>
    <cfRule type="expression" dxfId="3" priority="46">
      <formula>AND(H27&lt;15000,L27&lt;15000)</formula>
    </cfRule>
  </conditionalFormatting>
  <conditionalFormatting sqref="M28">
    <cfRule type="cellIs" dxfId="2" priority="52" operator="lessThanOrEqual">
      <formula>I28</formula>
    </cfRule>
  </conditionalFormatting>
  <conditionalFormatting sqref="M37">
    <cfRule type="cellIs" dxfId="2" priority="56" operator="lessThanOrEqual">
      <formula>I37</formula>
    </cfRule>
  </conditionalFormatting>
  <conditionalFormatting sqref="M39">
    <cfRule type="cellIs" dxfId="2" priority="60" operator="lessThanOrEqual">
      <formula>I39</formula>
    </cfRule>
  </conditionalFormatting>
  <conditionalFormatting sqref="M8">
    <cfRule type="cellIs" dxfId="2" priority="4" operator="lessThanOrEqual">
      <formula>I8</formula>
    </cfRule>
  </conditionalFormatting>
  <conditionalFormatting sqref="M9">
    <cfRule type="cellIs" dxfId="2" priority="8" operator="lessThanOrEqual">
      <formula>I9</formula>
    </cfRule>
  </conditionalFormatting>
  <conditionalFormatting sqref="N27">
    <cfRule type="expression" dxfId="3" priority="47">
      <formula>AND(H27&lt;15000,L27&lt;15000)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20">
    <cfRule type="cellIs" dxfId="2" priority="23" operator="lessThanOrEqual">
      <formula>J20</formula>
    </cfRule>
  </conditionalFormatting>
  <conditionalFormatting sqref="O22">
    <cfRule type="cellIs" dxfId="2" priority="27" operator="lessThanOrEqual">
      <formula>J22</formula>
    </cfRule>
  </conditionalFormatting>
  <conditionalFormatting sqref="O23">
    <cfRule type="cellIs" dxfId="2" priority="31" operator="lessThanOrEqual">
      <formula>J23</formula>
    </cfRule>
  </conditionalFormatting>
  <conditionalFormatting sqref="O24">
    <cfRule type="cellIs" dxfId="2" priority="35" operator="lessThanOrEqual">
      <formula>J24</formula>
    </cfRule>
  </conditionalFormatting>
  <conditionalFormatting sqref="O26">
    <cfRule type="cellIs" dxfId="2" priority="39" operator="lessThanOrEqual">
      <formula>J26</formula>
    </cfRule>
  </conditionalFormatting>
  <conditionalFormatting sqref="O27">
    <cfRule type="cellIs" dxfId="2" priority="44" operator="lessThanOrEqual">
      <formula>J27</formula>
    </cfRule>
    <cfRule type="expression" dxfId="3" priority="48">
      <formula>AND(H27&lt;15000,L27&lt;15000)</formula>
    </cfRule>
  </conditionalFormatting>
  <conditionalFormatting sqref="O28">
    <cfRule type="cellIs" dxfId="2" priority="51" operator="lessThanOrEqual">
      <formula>J28</formula>
    </cfRule>
  </conditionalFormatting>
  <conditionalFormatting sqref="O37">
    <cfRule type="cellIs" dxfId="2" priority="55" operator="lessThanOrEqual">
      <formula>J37</formula>
    </cfRule>
  </conditionalFormatting>
  <conditionalFormatting sqref="O39">
    <cfRule type="cellIs" dxfId="2" priority="59" operator="lessThanOrEqual">
      <formula>J39</formula>
    </cfRule>
  </conditionalFormatting>
  <conditionalFormatting sqref="O8">
    <cfRule type="cellIs" dxfId="2" priority="3" operator="lessThanOrEqual">
      <formula>J8</formula>
    </cfRule>
  </conditionalFormatting>
  <conditionalFormatting sqref="O9">
    <cfRule type="cellIs" dxfId="2" priority="7" operator="lessThanOrEqual">
      <formula>J9</formula>
    </cfRule>
  </conditionalFormatting>
  <conditionalFormatting sqref="Q10">
    <cfRule type="cellIs" dxfId="0" priority="73" operator="lessThan">
      <formula>H10</formula>
    </cfRule>
  </conditionalFormatting>
  <conditionalFormatting sqref="Q11">
    <cfRule type="cellIs" dxfId="0" priority="77" operator="lessThan">
      <formula>H11</formula>
    </cfRule>
  </conditionalFormatting>
  <conditionalFormatting sqref="Q12">
    <cfRule type="cellIs" dxfId="0" priority="81" operator="lessThan">
      <formula>H12</formula>
    </cfRule>
  </conditionalFormatting>
  <conditionalFormatting sqref="Q13">
    <cfRule type="cellIs" dxfId="0" priority="85" operator="lessThan">
      <formula>H13</formula>
    </cfRule>
  </conditionalFormatting>
  <conditionalFormatting sqref="Q14">
    <cfRule type="cellIs" dxfId="0" priority="89" operator="lessThan">
      <formula>H14</formula>
    </cfRule>
  </conditionalFormatting>
  <conditionalFormatting sqref="Q20">
    <cfRule type="cellIs" dxfId="0" priority="93" operator="lessThan">
      <formula>H20</formula>
    </cfRule>
  </conditionalFormatting>
  <conditionalFormatting sqref="Q21">
    <cfRule type="cellIs" dxfId="0" priority="97" operator="lessThan">
      <formula>H21</formula>
    </cfRule>
  </conditionalFormatting>
  <conditionalFormatting sqref="Q22">
    <cfRule type="cellIs" dxfId="0" priority="101" operator="lessThan">
      <formula>H22</formula>
    </cfRule>
  </conditionalFormatting>
  <conditionalFormatting sqref="Q23">
    <cfRule type="cellIs" dxfId="0" priority="105" operator="lessThan">
      <formula>H23</formula>
    </cfRule>
  </conditionalFormatting>
  <conditionalFormatting sqref="Q24">
    <cfRule type="cellIs" dxfId="0" priority="109" operator="lessThan">
      <formula>H24</formula>
    </cfRule>
  </conditionalFormatting>
  <conditionalFormatting sqref="Q25">
    <cfRule type="cellIs" dxfId="0" priority="113" operator="lessThan">
      <formula>H25</formula>
    </cfRule>
  </conditionalFormatting>
  <conditionalFormatting sqref="Q26">
    <cfRule type="cellIs" dxfId="0" priority="117" operator="lessThan">
      <formula>H26</formula>
    </cfRule>
  </conditionalFormatting>
  <conditionalFormatting sqref="Q27">
    <cfRule type="cellIs" dxfId="0" priority="121" operator="lessThan">
      <formula>H27</formula>
    </cfRule>
  </conditionalFormatting>
  <conditionalFormatting sqref="Q28">
    <cfRule type="cellIs" dxfId="0" priority="125" operator="lessThan">
      <formula>H28</formula>
    </cfRule>
  </conditionalFormatting>
  <conditionalFormatting sqref="Q29">
    <cfRule type="cellIs" dxfId="0" priority="129" operator="lessThan">
      <formula>H29</formula>
    </cfRule>
  </conditionalFormatting>
  <conditionalFormatting sqref="Q31">
    <cfRule type="cellIs" dxfId="0" priority="133" operator="lessThan">
      <formula>H31</formula>
    </cfRule>
  </conditionalFormatting>
  <conditionalFormatting sqref="Q32">
    <cfRule type="cellIs" dxfId="0" priority="137" operator="lessThan">
      <formula>H32</formula>
    </cfRule>
  </conditionalFormatting>
  <conditionalFormatting sqref="Q33">
    <cfRule type="cellIs" dxfId="0" priority="141" operator="lessThan">
      <formula>H33</formula>
    </cfRule>
  </conditionalFormatting>
  <conditionalFormatting sqref="Q34">
    <cfRule type="cellIs" dxfId="0" priority="149" operator="lessThan">
      <formula>H34</formula>
    </cfRule>
  </conditionalFormatting>
  <conditionalFormatting sqref="Q35">
    <cfRule type="cellIs" dxfId="0" priority="157" operator="lessThan">
      <formula>H35</formula>
    </cfRule>
  </conditionalFormatting>
  <conditionalFormatting sqref="Q36">
    <cfRule type="cellIs" dxfId="0" priority="161" operator="lessThan">
      <formula>H36</formula>
    </cfRule>
  </conditionalFormatting>
  <conditionalFormatting sqref="Q37">
    <cfRule type="cellIs" dxfId="0" priority="165" operator="lessThan">
      <formula>H37</formula>
    </cfRule>
  </conditionalFormatting>
  <conditionalFormatting sqref="Q39">
    <cfRule type="cellIs" dxfId="0" priority="169" operator="lessThan">
      <formula>H39</formula>
    </cfRule>
  </conditionalFormatting>
  <conditionalFormatting sqref="Q40">
    <cfRule type="cellIs" dxfId="0" priority="173" operator="lessThan">
      <formula>H40</formula>
    </cfRule>
  </conditionalFormatting>
  <conditionalFormatting sqref="Q41">
    <cfRule type="cellIs" dxfId="0" priority="177" operator="lessThan">
      <formula>H41</formula>
    </cfRule>
  </conditionalFormatting>
  <conditionalFormatting sqref="Q7">
    <cfRule type="cellIs" dxfId="0" priority="61" operator="lessThan">
      <formula>H7</formula>
    </cfRule>
  </conditionalFormatting>
  <conditionalFormatting sqref="Q8">
    <cfRule type="cellIs" dxfId="0" priority="65" operator="lessThan">
      <formula>H8</formula>
    </cfRule>
  </conditionalFormatting>
  <conditionalFormatting sqref="Q9">
    <cfRule type="cellIs" dxfId="0" priority="69" operator="lessThan">
      <formula>H9</formula>
    </cfRule>
  </conditionalFormatting>
  <conditionalFormatting sqref="R10">
    <cfRule type="expression" dxfId="1" priority="74">
      <formula>AND(NOT(ISBLANK(R10)),OR(Q10="NonStk",R10&gt;Q10))</formula>
    </cfRule>
  </conditionalFormatting>
  <conditionalFormatting sqref="R11">
    <cfRule type="expression" dxfId="1" priority="78">
      <formula>AND(NOT(ISBLANK(R11)),OR(Q11="NonStk",R11&gt;Q11))</formula>
    </cfRule>
  </conditionalFormatting>
  <conditionalFormatting sqref="R12">
    <cfRule type="expression" dxfId="1" priority="82">
      <formula>AND(NOT(ISBLANK(R12)),OR(Q12="NonStk",R12&gt;Q12))</formula>
    </cfRule>
  </conditionalFormatting>
  <conditionalFormatting sqref="R13">
    <cfRule type="expression" dxfId="1" priority="86">
      <formula>AND(NOT(ISBLANK(R13)),OR(Q13="NonStk",R13&gt;Q13))</formula>
    </cfRule>
  </conditionalFormatting>
  <conditionalFormatting sqref="R14">
    <cfRule type="expression" dxfId="1" priority="90">
      <formula>AND(NOT(ISBLANK(R14)),OR(Q14="NonStk",R14&gt;Q14))</formula>
    </cfRule>
  </conditionalFormatting>
  <conditionalFormatting sqref="R20">
    <cfRule type="expression" dxfId="1" priority="94">
      <formula>AND(NOT(ISBLANK(R20)),OR(Q20="NonStk",R20&gt;Q20))</formula>
    </cfRule>
  </conditionalFormatting>
  <conditionalFormatting sqref="R21">
    <cfRule type="expression" dxfId="1" priority="98">
      <formula>AND(NOT(ISBLANK(R21)),OR(Q21="NonStk",R21&gt;Q21))</formula>
    </cfRule>
  </conditionalFormatting>
  <conditionalFormatting sqref="R22">
    <cfRule type="expression" dxfId="1" priority="102">
      <formula>AND(NOT(ISBLANK(R22)),OR(Q22="NonStk",R22&gt;Q22))</formula>
    </cfRule>
  </conditionalFormatting>
  <conditionalFormatting sqref="R23">
    <cfRule type="expression" dxfId="1" priority="106">
      <formula>AND(NOT(ISBLANK(R23)),OR(Q23="NonStk",R23&gt;Q23))</formula>
    </cfRule>
  </conditionalFormatting>
  <conditionalFormatting sqref="R24">
    <cfRule type="expression" dxfId="1" priority="110">
      <formula>AND(NOT(ISBLANK(R24)),OR(Q24="NonStk",R24&gt;Q24))</formula>
    </cfRule>
  </conditionalFormatting>
  <conditionalFormatting sqref="R25">
    <cfRule type="expression" dxfId="1" priority="114">
      <formula>AND(NOT(ISBLANK(R25)),OR(Q25="NonStk",R25&gt;Q25))</formula>
    </cfRule>
  </conditionalFormatting>
  <conditionalFormatting sqref="R26">
    <cfRule type="expression" dxfId="1" priority="118">
      <formula>AND(NOT(ISBLANK(R26)),OR(Q26="NonStk",R26&gt;Q26))</formula>
    </cfRule>
  </conditionalFormatting>
  <conditionalFormatting sqref="R27">
    <cfRule type="expression" dxfId="1" priority="122">
      <formula>AND(NOT(ISBLANK(R27)),OR(Q27="NonStk",R27&gt;Q27))</formula>
    </cfRule>
  </conditionalFormatting>
  <conditionalFormatting sqref="R28">
    <cfRule type="expression" dxfId="1" priority="126">
      <formula>AND(NOT(ISBLANK(R28)),OR(Q28="NonStk",R28&gt;Q28))</formula>
    </cfRule>
  </conditionalFormatting>
  <conditionalFormatting sqref="R29">
    <cfRule type="expression" dxfId="1" priority="130">
      <formula>AND(NOT(ISBLANK(R29)),OR(Q29="NonStk",R29&gt;Q29))</formula>
    </cfRule>
  </conditionalFormatting>
  <conditionalFormatting sqref="R31">
    <cfRule type="expression" dxfId="1" priority="134">
      <formula>AND(NOT(ISBLANK(R31)),OR(Q31="NonStk",R31&gt;Q31))</formula>
    </cfRule>
  </conditionalFormatting>
  <conditionalFormatting sqref="R32">
    <cfRule type="expression" dxfId="1" priority="138">
      <formula>AND(NOT(ISBLANK(R32)),OR(Q32="NonStk",R32&gt;Q32))</formula>
    </cfRule>
  </conditionalFormatting>
  <conditionalFormatting sqref="R33">
    <cfRule type="expression" dxfId="3" priority="142">
      <formula>AND(R33&gt;0,MOD(R33,T33)&lt;&gt;0)</formula>
    </cfRule>
    <cfRule type="expression" dxfId="1" priority="143">
      <formula>AND(NOT(ISBLANK(R33)),OR(Q33="NonStk",R33&gt;Q33))</formula>
    </cfRule>
  </conditionalFormatting>
  <conditionalFormatting sqref="R34">
    <cfRule type="expression" dxfId="3" priority="150">
      <formula>AND(R34&gt;0,MOD(R34,T34)&lt;&gt;0)</formula>
    </cfRule>
    <cfRule type="expression" dxfId="1" priority="151">
      <formula>AND(NOT(ISBLANK(R34)),OR(Q34="NonStk",R34&gt;Q34))</formula>
    </cfRule>
  </conditionalFormatting>
  <conditionalFormatting sqref="R35">
    <cfRule type="expression" dxfId="1" priority="158">
      <formula>AND(NOT(ISBLANK(R35)),OR(Q35="NonStk",R35&gt;Q35))</formula>
    </cfRule>
  </conditionalFormatting>
  <conditionalFormatting sqref="R36">
    <cfRule type="expression" dxfId="1" priority="162">
      <formula>AND(NOT(ISBLANK(R36)),OR(Q36="NonStk",R36&gt;Q36))</formula>
    </cfRule>
  </conditionalFormatting>
  <conditionalFormatting sqref="R37">
    <cfRule type="expression" dxfId="1" priority="166">
      <formula>AND(NOT(ISBLANK(R37)),OR(Q37="NonStk",R37&gt;Q37))</formula>
    </cfRule>
  </conditionalFormatting>
  <conditionalFormatting sqref="R39">
    <cfRule type="expression" dxfId="1" priority="170">
      <formula>AND(NOT(ISBLANK(R39)),OR(Q39="NonStk",R39&gt;Q39))</formula>
    </cfRule>
  </conditionalFormatting>
  <conditionalFormatting sqref="R40">
    <cfRule type="expression" dxfId="1" priority="174">
      <formula>AND(NOT(ISBLANK(R40)),OR(Q40="NonStk",R40&gt;Q40))</formula>
    </cfRule>
  </conditionalFormatting>
  <conditionalFormatting sqref="R41">
    <cfRule type="expression" dxfId="1" priority="178">
      <formula>AND(NOT(ISBLANK(R41)),OR(Q41="NonStk",R41&gt;Q41))</formula>
    </cfRule>
  </conditionalFormatting>
  <conditionalFormatting sqref="R7">
    <cfRule type="expression" dxfId="1" priority="62">
      <formula>AND(NOT(ISBLANK(R7)),OR(Q7="NonStk",R7&gt;Q7))</formula>
    </cfRule>
  </conditionalFormatting>
  <conditionalFormatting sqref="R8">
    <cfRule type="expression" dxfId="1" priority="66">
      <formula>AND(NOT(ISBLANK(R8)),OR(Q8="NonStk",R8&gt;Q8))</formula>
    </cfRule>
  </conditionalFormatting>
  <conditionalFormatting sqref="R9">
    <cfRule type="expression" dxfId="1" priority="70">
      <formula>AND(NOT(ISBLANK(R9)),OR(Q9="NonStk",R9&gt;Q9))</formula>
    </cfRule>
  </conditionalFormatting>
  <conditionalFormatting sqref="S10">
    <cfRule type="cellIs" dxfId="2" priority="76" operator="lessThanOrEqual">
      <formula>I10</formula>
    </cfRule>
  </conditionalFormatting>
  <conditionalFormatting sqref="S11">
    <cfRule type="cellIs" dxfId="2" priority="80" operator="lessThanOrEqual">
      <formula>I11</formula>
    </cfRule>
  </conditionalFormatting>
  <conditionalFormatting sqref="S12">
    <cfRule type="cellIs" dxfId="2" priority="84" operator="lessThanOrEqual">
      <formula>I12</formula>
    </cfRule>
  </conditionalFormatting>
  <conditionalFormatting sqref="S13">
    <cfRule type="cellIs" dxfId="2" priority="88" operator="lessThanOrEqual">
      <formula>I13</formula>
    </cfRule>
  </conditionalFormatting>
  <conditionalFormatting sqref="S14">
    <cfRule type="cellIs" dxfId="2" priority="92" operator="lessThanOrEqual">
      <formula>I14</formula>
    </cfRule>
  </conditionalFormatting>
  <conditionalFormatting sqref="S20">
    <cfRule type="cellIs" dxfId="2" priority="96" operator="lessThanOrEqual">
      <formula>I20</formula>
    </cfRule>
  </conditionalFormatting>
  <conditionalFormatting sqref="S21">
    <cfRule type="cellIs" dxfId="2" priority="100" operator="lessThanOrEqual">
      <formula>I21</formula>
    </cfRule>
  </conditionalFormatting>
  <conditionalFormatting sqref="S22">
    <cfRule type="cellIs" dxfId="2" priority="104" operator="lessThanOrEqual">
      <formula>I22</formula>
    </cfRule>
  </conditionalFormatting>
  <conditionalFormatting sqref="S23">
    <cfRule type="cellIs" dxfId="2" priority="108" operator="lessThanOrEqual">
      <formula>I23</formula>
    </cfRule>
  </conditionalFormatting>
  <conditionalFormatting sqref="S24">
    <cfRule type="cellIs" dxfId="2" priority="112" operator="lessThanOrEqual">
      <formula>I24</formula>
    </cfRule>
  </conditionalFormatting>
  <conditionalFormatting sqref="S25">
    <cfRule type="cellIs" dxfId="2" priority="116" operator="lessThanOrEqual">
      <formula>I25</formula>
    </cfRule>
  </conditionalFormatting>
  <conditionalFormatting sqref="S26">
    <cfRule type="cellIs" dxfId="2" priority="120" operator="lessThanOrEqual">
      <formula>I26</formula>
    </cfRule>
  </conditionalFormatting>
  <conditionalFormatting sqref="S27">
    <cfRule type="cellIs" dxfId="2" priority="124" operator="lessThanOrEqual">
      <formula>I27</formula>
    </cfRule>
  </conditionalFormatting>
  <conditionalFormatting sqref="S28">
    <cfRule type="cellIs" dxfId="2" priority="128" operator="lessThanOrEqual">
      <formula>I28</formula>
    </cfRule>
  </conditionalFormatting>
  <conditionalFormatting sqref="S29">
    <cfRule type="cellIs" dxfId="2" priority="132" operator="lessThanOrEqual">
      <formula>I29</formula>
    </cfRule>
  </conditionalFormatting>
  <conditionalFormatting sqref="S31">
    <cfRule type="cellIs" dxfId="2" priority="136" operator="lessThanOrEqual">
      <formula>I31</formula>
    </cfRule>
  </conditionalFormatting>
  <conditionalFormatting sqref="S32">
    <cfRule type="cellIs" dxfId="2" priority="140" operator="lessThanOrEqual">
      <formula>I32</formula>
    </cfRule>
  </conditionalFormatting>
  <conditionalFormatting sqref="S33">
    <cfRule type="cellIs" dxfId="2" priority="145" operator="lessThanOrEqual">
      <formula>I33</formula>
    </cfRule>
    <cfRule type="expression" dxfId="3" priority="146">
      <formula>AND(H33&lt;4000,R33&lt;4000)</formula>
    </cfRule>
  </conditionalFormatting>
  <conditionalFormatting sqref="S34">
    <cfRule type="cellIs" dxfId="2" priority="153" operator="lessThanOrEqual">
      <formula>I34</formula>
    </cfRule>
    <cfRule type="expression" dxfId="3" priority="154">
      <formula>AND(H34&lt;2000,R34&lt;2000)</formula>
    </cfRule>
  </conditionalFormatting>
  <conditionalFormatting sqref="S35">
    <cfRule type="cellIs" dxfId="2" priority="160" operator="lessThanOrEqual">
      <formula>I35</formula>
    </cfRule>
  </conditionalFormatting>
  <conditionalFormatting sqref="S36">
    <cfRule type="cellIs" dxfId="2" priority="164" operator="lessThanOrEqual">
      <formula>I36</formula>
    </cfRule>
  </conditionalFormatting>
  <conditionalFormatting sqref="S37">
    <cfRule type="cellIs" dxfId="2" priority="168" operator="lessThanOrEqual">
      <formula>I37</formula>
    </cfRule>
  </conditionalFormatting>
  <conditionalFormatting sqref="S39">
    <cfRule type="cellIs" dxfId="2" priority="172" operator="lessThanOrEqual">
      <formula>I39</formula>
    </cfRule>
  </conditionalFormatting>
  <conditionalFormatting sqref="S40">
    <cfRule type="cellIs" dxfId="2" priority="176" operator="lessThanOrEqual">
      <formula>I40</formula>
    </cfRule>
  </conditionalFormatting>
  <conditionalFormatting sqref="S41">
    <cfRule type="cellIs" dxfId="2" priority="180" operator="lessThanOrEqual">
      <formula>I41</formula>
    </cfRule>
  </conditionalFormatting>
  <conditionalFormatting sqref="S7">
    <cfRule type="cellIs" dxfId="2" priority="64" operator="lessThanOrEqual">
      <formula>I7</formula>
    </cfRule>
  </conditionalFormatting>
  <conditionalFormatting sqref="S8">
    <cfRule type="cellIs" dxfId="2" priority="68" operator="lessThanOrEqual">
      <formula>I8</formula>
    </cfRule>
  </conditionalFormatting>
  <conditionalFormatting sqref="S9">
    <cfRule type="cellIs" dxfId="2" priority="72" operator="lessThanOrEqual">
      <formula>I9</formula>
    </cfRule>
  </conditionalFormatting>
  <conditionalFormatting sqref="T33">
    <cfRule type="expression" dxfId="3" priority="147">
      <formula>AND(H33&lt;4000,R33&lt;4000)</formula>
    </cfRule>
  </conditionalFormatting>
  <conditionalFormatting sqref="T34">
    <cfRule type="expression" dxfId="3" priority="155">
      <formula>AND(H34&lt;2000,R34&lt;2000)</formula>
    </cfRule>
  </conditionalFormatting>
  <conditionalFormatting sqref="U10">
    <cfRule type="cellIs" dxfId="2" priority="75" operator="lessThanOrEqual">
      <formula>J10</formula>
    </cfRule>
  </conditionalFormatting>
  <conditionalFormatting sqref="U11">
    <cfRule type="cellIs" dxfId="2" priority="79" operator="lessThanOrEqual">
      <formula>J11</formula>
    </cfRule>
  </conditionalFormatting>
  <conditionalFormatting sqref="U12">
    <cfRule type="cellIs" dxfId="2" priority="83" operator="lessThanOrEqual">
      <formula>J12</formula>
    </cfRule>
  </conditionalFormatting>
  <conditionalFormatting sqref="U13">
    <cfRule type="cellIs" dxfId="2" priority="87" operator="lessThanOrEqual">
      <formula>J13</formula>
    </cfRule>
  </conditionalFormatting>
  <conditionalFormatting sqref="U14">
    <cfRule type="cellIs" dxfId="2" priority="91" operator="lessThanOrEqual">
      <formula>J14</formula>
    </cfRule>
  </conditionalFormatting>
  <conditionalFormatting sqref="U20">
    <cfRule type="cellIs" dxfId="2" priority="95" operator="lessThanOrEqual">
      <formula>J20</formula>
    </cfRule>
  </conditionalFormatting>
  <conditionalFormatting sqref="U21">
    <cfRule type="cellIs" dxfId="2" priority="99" operator="lessThanOrEqual">
      <formula>J21</formula>
    </cfRule>
  </conditionalFormatting>
  <conditionalFormatting sqref="U22">
    <cfRule type="cellIs" dxfId="2" priority="103" operator="lessThanOrEqual">
      <formula>J22</formula>
    </cfRule>
  </conditionalFormatting>
  <conditionalFormatting sqref="U23">
    <cfRule type="cellIs" dxfId="2" priority="107" operator="lessThanOrEqual">
      <formula>J23</formula>
    </cfRule>
  </conditionalFormatting>
  <conditionalFormatting sqref="U24">
    <cfRule type="cellIs" dxfId="2" priority="111" operator="lessThanOrEqual">
      <formula>J24</formula>
    </cfRule>
  </conditionalFormatting>
  <conditionalFormatting sqref="U25">
    <cfRule type="cellIs" dxfId="2" priority="115" operator="lessThanOrEqual">
      <formula>J25</formula>
    </cfRule>
  </conditionalFormatting>
  <conditionalFormatting sqref="U26">
    <cfRule type="cellIs" dxfId="2" priority="119" operator="lessThanOrEqual">
      <formula>J26</formula>
    </cfRule>
  </conditionalFormatting>
  <conditionalFormatting sqref="U27">
    <cfRule type="cellIs" dxfId="2" priority="123" operator="lessThanOrEqual">
      <formula>J27</formula>
    </cfRule>
  </conditionalFormatting>
  <conditionalFormatting sqref="U28">
    <cfRule type="cellIs" dxfId="2" priority="127" operator="lessThanOrEqual">
      <formula>J28</formula>
    </cfRule>
  </conditionalFormatting>
  <conditionalFormatting sqref="U29">
    <cfRule type="cellIs" dxfId="2" priority="131" operator="lessThanOrEqual">
      <formula>J29</formula>
    </cfRule>
  </conditionalFormatting>
  <conditionalFormatting sqref="U31">
    <cfRule type="cellIs" dxfId="2" priority="135" operator="lessThanOrEqual">
      <formula>J31</formula>
    </cfRule>
  </conditionalFormatting>
  <conditionalFormatting sqref="U32">
    <cfRule type="cellIs" dxfId="2" priority="139" operator="lessThanOrEqual">
      <formula>J32</formula>
    </cfRule>
  </conditionalFormatting>
  <conditionalFormatting sqref="U33">
    <cfRule type="cellIs" dxfId="2" priority="144" operator="lessThanOrEqual">
      <formula>J33</formula>
    </cfRule>
    <cfRule type="expression" dxfId="3" priority="148">
      <formula>AND(H33&lt;4000,R33&lt;4000)</formula>
    </cfRule>
  </conditionalFormatting>
  <conditionalFormatting sqref="U34">
    <cfRule type="cellIs" dxfId="2" priority="152" operator="lessThanOrEqual">
      <formula>J34</formula>
    </cfRule>
    <cfRule type="expression" dxfId="3" priority="156">
      <formula>AND(H34&lt;2000,R34&lt;2000)</formula>
    </cfRule>
  </conditionalFormatting>
  <conditionalFormatting sqref="U35">
    <cfRule type="cellIs" dxfId="2" priority="159" operator="lessThanOrEqual">
      <formula>J35</formula>
    </cfRule>
  </conditionalFormatting>
  <conditionalFormatting sqref="U36">
    <cfRule type="cellIs" dxfId="2" priority="163" operator="lessThanOrEqual">
      <formula>J36</formula>
    </cfRule>
  </conditionalFormatting>
  <conditionalFormatting sqref="U37">
    <cfRule type="cellIs" dxfId="2" priority="167" operator="lessThanOrEqual">
      <formula>J37</formula>
    </cfRule>
  </conditionalFormatting>
  <conditionalFormatting sqref="U39">
    <cfRule type="cellIs" dxfId="2" priority="171" operator="lessThanOrEqual">
      <formula>J39</formula>
    </cfRule>
  </conditionalFormatting>
  <conditionalFormatting sqref="U40">
    <cfRule type="cellIs" dxfId="2" priority="175" operator="lessThanOrEqual">
      <formula>J40</formula>
    </cfRule>
  </conditionalFormatting>
  <conditionalFormatting sqref="U41">
    <cfRule type="cellIs" dxfId="2" priority="179" operator="lessThanOrEqual">
      <formula>J41</formula>
    </cfRule>
  </conditionalFormatting>
  <conditionalFormatting sqref="U7">
    <cfRule type="cellIs" dxfId="2" priority="63" operator="lessThanOrEqual">
      <formula>J7</formula>
    </cfRule>
  </conditionalFormatting>
  <conditionalFormatting sqref="U8">
    <cfRule type="cellIs" dxfId="2" priority="67" operator="lessThanOrEqual">
      <formula>J8</formula>
    </cfRule>
  </conditionalFormatting>
  <conditionalFormatting sqref="U9">
    <cfRule type="cellIs" dxfId="2" priority="71" operator="lessThanOrEqual">
      <formula>J9</formula>
    </cfRule>
  </conditionalFormatting>
  <conditionalFormatting sqref="W10">
    <cfRule type="cellIs" dxfId="0" priority="196" operator="lessThan">
      <formula>H10</formula>
    </cfRule>
  </conditionalFormatting>
  <conditionalFormatting sqref="W11">
    <cfRule type="cellIs" dxfId="0" priority="201" operator="lessThan">
      <formula>H11</formula>
    </cfRule>
  </conditionalFormatting>
  <conditionalFormatting sqref="W12">
    <cfRule type="cellIs" dxfId="0" priority="206" operator="lessThan">
      <formula>H12</formula>
    </cfRule>
  </conditionalFormatting>
  <conditionalFormatting sqref="W13">
    <cfRule type="cellIs" dxfId="0" priority="211" operator="lessThan">
      <formula>H13</formula>
    </cfRule>
  </conditionalFormatting>
  <conditionalFormatting sqref="W14">
    <cfRule type="cellIs" dxfId="0" priority="219" operator="lessThan">
      <formula>H14</formula>
    </cfRule>
  </conditionalFormatting>
  <conditionalFormatting sqref="W20">
    <cfRule type="cellIs" dxfId="0" priority="223" operator="lessThan">
      <formula>H20</formula>
    </cfRule>
  </conditionalFormatting>
  <conditionalFormatting sqref="W21">
    <cfRule type="cellIs" dxfId="0" priority="231" operator="lessThan">
      <formula>H21</formula>
    </cfRule>
  </conditionalFormatting>
  <conditionalFormatting sqref="W22">
    <cfRule type="cellIs" dxfId="0" priority="239" operator="lessThan">
      <formula>H22</formula>
    </cfRule>
  </conditionalFormatting>
  <conditionalFormatting sqref="W23">
    <cfRule type="cellIs" dxfId="0" priority="244" operator="lessThan">
      <formula>H23</formula>
    </cfRule>
  </conditionalFormatting>
  <conditionalFormatting sqref="W24">
    <cfRule type="cellIs" dxfId="0" priority="249" operator="lessThan">
      <formula>H24</formula>
    </cfRule>
  </conditionalFormatting>
  <conditionalFormatting sqref="W25">
    <cfRule type="cellIs" dxfId="0" priority="254" operator="lessThan">
      <formula>H25</formula>
    </cfRule>
  </conditionalFormatting>
  <conditionalFormatting sqref="W26">
    <cfRule type="cellIs" dxfId="0" priority="262" operator="lessThan">
      <formula>H26</formula>
    </cfRule>
  </conditionalFormatting>
  <conditionalFormatting sqref="W27">
    <cfRule type="cellIs" dxfId="0" priority="270" operator="lessThan">
      <formula>H27</formula>
    </cfRule>
  </conditionalFormatting>
  <conditionalFormatting sqref="W28">
    <cfRule type="cellIs" dxfId="0" priority="275" operator="lessThan">
      <formula>H28</formula>
    </cfRule>
  </conditionalFormatting>
  <conditionalFormatting sqref="W29">
    <cfRule type="cellIs" dxfId="0" priority="280" operator="lessThan">
      <formula>H29</formula>
    </cfRule>
  </conditionalFormatting>
  <conditionalFormatting sqref="W31">
    <cfRule type="cellIs" dxfId="0" priority="285" operator="lessThan">
      <formula>H31</formula>
    </cfRule>
  </conditionalFormatting>
  <conditionalFormatting sqref="W32">
    <cfRule type="cellIs" dxfId="0" priority="290" operator="lessThan">
      <formula>H32</formula>
    </cfRule>
  </conditionalFormatting>
  <conditionalFormatting sqref="W35">
    <cfRule type="cellIs" dxfId="0" priority="295" operator="lessThan">
      <formula>H35</formula>
    </cfRule>
  </conditionalFormatting>
  <conditionalFormatting sqref="W36">
    <cfRule type="cellIs" dxfId="0" priority="299" operator="lessThan">
      <formula>H36</formula>
    </cfRule>
  </conditionalFormatting>
  <conditionalFormatting sqref="W37">
    <cfRule type="cellIs" dxfId="0" priority="304" operator="lessThan">
      <formula>H37</formula>
    </cfRule>
  </conditionalFormatting>
  <conditionalFormatting sqref="W40">
    <cfRule type="cellIs" dxfId="0" priority="308" operator="lessThan">
      <formula>H40</formula>
    </cfRule>
  </conditionalFormatting>
  <conditionalFormatting sqref="W41">
    <cfRule type="cellIs" dxfId="0" priority="312" operator="lessThan">
      <formula>H41</formula>
    </cfRule>
  </conditionalFormatting>
  <conditionalFormatting sqref="W7">
    <cfRule type="cellIs" dxfId="0" priority="181" operator="lessThan">
      <formula>H7</formula>
    </cfRule>
  </conditionalFormatting>
  <conditionalFormatting sqref="W8">
    <cfRule type="cellIs" dxfId="0" priority="186" operator="lessThan">
      <formula>H8</formula>
    </cfRule>
  </conditionalFormatting>
  <conditionalFormatting sqref="W9">
    <cfRule type="cellIs" dxfId="0" priority="191" operator="lessThan">
      <formula>H9</formula>
    </cfRule>
  </conditionalFormatting>
  <conditionalFormatting sqref="X10">
    <cfRule type="expression" dxfId="3" priority="197">
      <formula>AND(X10&gt;0,MOD(X10,Z10)&lt;&gt;0)</formula>
    </cfRule>
    <cfRule type="expression" dxfId="1" priority="198">
      <formula>AND(NOT(ISBLANK(X10)),OR(W10="NonStk",X10&gt;W10))</formula>
    </cfRule>
  </conditionalFormatting>
  <conditionalFormatting sqref="X11">
    <cfRule type="expression" dxfId="3" priority="202">
      <formula>AND(X11&gt;0,MOD(X11,Z11)&lt;&gt;0)</formula>
    </cfRule>
    <cfRule type="expression" dxfId="1" priority="203">
      <formula>AND(NOT(ISBLANK(X11)),OR(W11="NonStk",X11&gt;W11))</formula>
    </cfRule>
  </conditionalFormatting>
  <conditionalFormatting sqref="X12">
    <cfRule type="expression" dxfId="3" priority="207">
      <formula>AND(X12&gt;0,MOD(X12,Z12)&lt;&gt;0)</formula>
    </cfRule>
    <cfRule type="expression" dxfId="1" priority="208">
      <formula>AND(NOT(ISBLANK(X12)),OR(W12="NonStk",X12&gt;W12))</formula>
    </cfRule>
  </conditionalFormatting>
  <conditionalFormatting sqref="X13">
    <cfRule type="expression" dxfId="3" priority="212">
      <formula>AND(X13&gt;0,MOD(X13,Z13)&lt;&gt;0)</formula>
    </cfRule>
    <cfRule type="expression" dxfId="1" priority="213">
      <formula>AND(NOT(ISBLANK(X13)),OR(W13="NonStk",X13&gt;W13))</formula>
    </cfRule>
  </conditionalFormatting>
  <conditionalFormatting sqref="X14">
    <cfRule type="expression" dxfId="1" priority="220">
      <formula>AND(NOT(ISBLANK(X14)),OR(W14="NonStk",X14&gt;W14))</formula>
    </cfRule>
  </conditionalFormatting>
  <conditionalFormatting sqref="X20">
    <cfRule type="expression" dxfId="3" priority="224">
      <formula>AND(X20&gt;0,MOD(X20,Z20)&lt;&gt;0)</formula>
    </cfRule>
    <cfRule type="expression" dxfId="1" priority="225">
      <formula>AND(NOT(ISBLANK(X20)),OR(W20="NonStk",X20&gt;W20))</formula>
    </cfRule>
  </conditionalFormatting>
  <conditionalFormatting sqref="X21">
    <cfRule type="expression" dxfId="3" priority="232">
      <formula>AND(X21&gt;0,MOD(X21,Z21)&lt;&gt;0)</formula>
    </cfRule>
    <cfRule type="expression" dxfId="1" priority="233">
      <formula>AND(NOT(ISBLANK(X21)),OR(W21="NonStk",X21&gt;W21))</formula>
    </cfRule>
  </conditionalFormatting>
  <conditionalFormatting sqref="X22">
    <cfRule type="expression" dxfId="3" priority="240">
      <formula>AND(X22&gt;0,MOD(X22,Z22)&lt;&gt;0)</formula>
    </cfRule>
    <cfRule type="expression" dxfId="1" priority="241">
      <formula>AND(NOT(ISBLANK(X22)),OR(W22="NonStk",X22&gt;W22))</formula>
    </cfRule>
  </conditionalFormatting>
  <conditionalFormatting sqref="X23">
    <cfRule type="expression" dxfId="3" priority="245">
      <formula>AND(X23&gt;0,MOD(X23,Z23)&lt;&gt;0)</formula>
    </cfRule>
    <cfRule type="expression" dxfId="1" priority="246">
      <formula>AND(NOT(ISBLANK(X23)),OR(W23="NonStk",X23&gt;W23))</formula>
    </cfRule>
  </conditionalFormatting>
  <conditionalFormatting sqref="X24">
    <cfRule type="expression" dxfId="3" priority="250">
      <formula>AND(X24&gt;0,MOD(X24,Z24)&lt;&gt;0)</formula>
    </cfRule>
    <cfRule type="expression" dxfId="1" priority="251">
      <formula>AND(NOT(ISBLANK(X24)),OR(W24="NonStk",X24&gt;W24))</formula>
    </cfRule>
  </conditionalFormatting>
  <conditionalFormatting sqref="X25">
    <cfRule type="expression" dxfId="3" priority="255">
      <formula>AND(X25&gt;0,MOD(X25,Z25)&lt;&gt;0)</formula>
    </cfRule>
    <cfRule type="expression" dxfId="1" priority="256">
      <formula>AND(NOT(ISBLANK(X25)),OR(W25="NonStk",X25&gt;W25))</formula>
    </cfRule>
  </conditionalFormatting>
  <conditionalFormatting sqref="X26">
    <cfRule type="expression" dxfId="3" priority="263">
      <formula>AND(X26&gt;0,MOD(X26,Z26)&lt;&gt;0)</formula>
    </cfRule>
    <cfRule type="expression" dxfId="1" priority="264">
      <formula>AND(NOT(ISBLANK(X26)),OR(W26="NonStk",X26&gt;W26))</formula>
    </cfRule>
  </conditionalFormatting>
  <conditionalFormatting sqref="X27">
    <cfRule type="expression" dxfId="3" priority="271">
      <formula>AND(X27&gt;0,MOD(X27,Z27)&lt;&gt;0)</formula>
    </cfRule>
    <cfRule type="expression" dxfId="1" priority="272">
      <formula>AND(NOT(ISBLANK(X27)),OR(W27="NonStk",X27&gt;W27))</formula>
    </cfRule>
  </conditionalFormatting>
  <conditionalFormatting sqref="X28">
    <cfRule type="expression" dxfId="3" priority="276">
      <formula>AND(X28&gt;0,MOD(X28,Z28)&lt;&gt;0)</formula>
    </cfRule>
    <cfRule type="expression" dxfId="1" priority="277">
      <formula>AND(NOT(ISBLANK(X28)),OR(W28="NonStk",X28&gt;W28))</formula>
    </cfRule>
  </conditionalFormatting>
  <conditionalFormatting sqref="X29">
    <cfRule type="expression" dxfId="3" priority="281">
      <formula>AND(X29&gt;0,MOD(X29,Z29)&lt;&gt;0)</formula>
    </cfRule>
    <cfRule type="expression" dxfId="1" priority="282">
      <formula>AND(NOT(ISBLANK(X29)),OR(W29="NonStk",X29&gt;W29))</formula>
    </cfRule>
  </conditionalFormatting>
  <conditionalFormatting sqref="X31">
    <cfRule type="expression" dxfId="3" priority="286">
      <formula>AND(X31&gt;0,MOD(X31,Z31)&lt;&gt;0)</formula>
    </cfRule>
    <cfRule type="expression" dxfId="1" priority="287">
      <formula>AND(NOT(ISBLANK(X31)),OR(W31="NonStk",X31&gt;W31))</formula>
    </cfRule>
  </conditionalFormatting>
  <conditionalFormatting sqref="X32">
    <cfRule type="expression" dxfId="3" priority="291">
      <formula>AND(X32&gt;0,MOD(X32,Z32)&lt;&gt;0)</formula>
    </cfRule>
    <cfRule type="expression" dxfId="1" priority="292">
      <formula>AND(NOT(ISBLANK(X32)),OR(W32="NonStk",X32&gt;W32))</formula>
    </cfRule>
  </conditionalFormatting>
  <conditionalFormatting sqref="X35">
    <cfRule type="expression" dxfId="1" priority="296">
      <formula>AND(NOT(ISBLANK(X35)),OR(W35="NonStk",X35&gt;W35))</formula>
    </cfRule>
  </conditionalFormatting>
  <conditionalFormatting sqref="X36">
    <cfRule type="expression" dxfId="3" priority="300">
      <formula>AND(X36&gt;0,MOD(X36,Z36)&lt;&gt;0)</formula>
    </cfRule>
    <cfRule type="expression" dxfId="1" priority="301">
      <formula>AND(NOT(ISBLANK(X36)),OR(W36="NonStk",X36&gt;W36))</formula>
    </cfRule>
  </conditionalFormatting>
  <conditionalFormatting sqref="X37">
    <cfRule type="expression" dxfId="1" priority="305">
      <formula>AND(NOT(ISBLANK(X37)),OR(W37="NonStk",X37&gt;W37))</formula>
    </cfRule>
  </conditionalFormatting>
  <conditionalFormatting sqref="X40">
    <cfRule type="expression" dxfId="1" priority="309">
      <formula>AND(NOT(ISBLANK(X40)),OR(W40="NonStk",X40&gt;W40))</formula>
    </cfRule>
  </conditionalFormatting>
  <conditionalFormatting sqref="X41">
    <cfRule type="expression" dxfId="3" priority="313">
      <formula>AND(X41&gt;0,MOD(X41,Z41)&lt;&gt;0)</formula>
    </cfRule>
    <cfRule type="expression" dxfId="1" priority="314">
      <formula>AND(NOT(ISBLANK(X41)),OR(W41="NonStk",X41&gt;W41))</formula>
    </cfRule>
  </conditionalFormatting>
  <conditionalFormatting sqref="X7">
    <cfRule type="expression" dxfId="3" priority="182">
      <formula>AND(X7&gt;0,MOD(X7,Z7)&lt;&gt;0)</formula>
    </cfRule>
    <cfRule type="expression" dxfId="1" priority="183">
      <formula>AND(NOT(ISBLANK(X7)),OR(W7="NonStk",X7&gt;W7))</formula>
    </cfRule>
  </conditionalFormatting>
  <conditionalFormatting sqref="X8">
    <cfRule type="expression" dxfId="3" priority="187">
      <formula>AND(X8&gt;0,MOD(X8,Z8)&lt;&gt;0)</formula>
    </cfRule>
    <cfRule type="expression" dxfId="1" priority="188">
      <formula>AND(NOT(ISBLANK(X8)),OR(W8="NonStk",X8&gt;W8))</formula>
    </cfRule>
  </conditionalFormatting>
  <conditionalFormatting sqref="X9">
    <cfRule type="expression" dxfId="3" priority="192">
      <formula>AND(X9&gt;0,MOD(X9,Z9)&lt;&gt;0)</formula>
    </cfRule>
    <cfRule type="expression" dxfId="1" priority="193">
      <formula>AND(NOT(ISBLANK(X9)),OR(W9="NonStk",X9&gt;W9))</formula>
    </cfRule>
  </conditionalFormatting>
  <conditionalFormatting sqref="Y10">
    <cfRule type="cellIs" dxfId="2" priority="200" operator="lessThanOrEqual">
      <formula>I10</formula>
    </cfRule>
  </conditionalFormatting>
  <conditionalFormatting sqref="Y11">
    <cfRule type="cellIs" dxfId="2" priority="205" operator="lessThanOrEqual">
      <formula>I11</formula>
    </cfRule>
  </conditionalFormatting>
  <conditionalFormatting sqref="Y12">
    <cfRule type="cellIs" dxfId="2" priority="210" operator="lessThanOrEqual">
      <formula>I12</formula>
    </cfRule>
  </conditionalFormatting>
  <conditionalFormatting sqref="Y13">
    <cfRule type="cellIs" dxfId="2" priority="215" operator="lessThanOrEqual">
      <formula>I13</formula>
    </cfRule>
    <cfRule type="expression" dxfId="3" priority="216">
      <formula>AND(H13&lt;4000,X13&lt;4000)</formula>
    </cfRule>
  </conditionalFormatting>
  <conditionalFormatting sqref="Y14">
    <cfRule type="cellIs" dxfId="2" priority="222" operator="lessThanOrEqual">
      <formula>I14</formula>
    </cfRule>
  </conditionalFormatting>
  <conditionalFormatting sqref="Y20">
    <cfRule type="cellIs" dxfId="2" priority="227" operator="lessThanOrEqual">
      <formula>I20</formula>
    </cfRule>
    <cfRule type="expression" dxfId="3" priority="228">
      <formula>AND(H20&lt;30000,X20&lt;30000)</formula>
    </cfRule>
  </conditionalFormatting>
  <conditionalFormatting sqref="Y21">
    <cfRule type="cellIs" dxfId="2" priority="235" operator="lessThanOrEqual">
      <formula>I21</formula>
    </cfRule>
    <cfRule type="expression" dxfId="3" priority="236">
      <formula>AND(H21&lt;30000,X21&lt;30000)</formula>
    </cfRule>
  </conditionalFormatting>
  <conditionalFormatting sqref="Y22">
    <cfRule type="cellIs" dxfId="2" priority="243" operator="lessThanOrEqual">
      <formula>I22</formula>
    </cfRule>
  </conditionalFormatting>
  <conditionalFormatting sqref="Y23">
    <cfRule type="cellIs" dxfId="2" priority="248" operator="lessThanOrEqual">
      <formula>I23</formula>
    </cfRule>
  </conditionalFormatting>
  <conditionalFormatting sqref="Y24">
    <cfRule type="cellIs" dxfId="2" priority="253" operator="lessThanOrEqual">
      <formula>I24</formula>
    </cfRule>
  </conditionalFormatting>
  <conditionalFormatting sqref="Y25">
    <cfRule type="cellIs" dxfId="2" priority="258" operator="lessThanOrEqual">
      <formula>I25</formula>
    </cfRule>
    <cfRule type="expression" dxfId="3" priority="259">
      <formula>AND(H25&lt;30000,X25&lt;30000)</formula>
    </cfRule>
  </conditionalFormatting>
  <conditionalFormatting sqref="Y26">
    <cfRule type="cellIs" dxfId="2" priority="266" operator="lessThanOrEqual">
      <formula>I26</formula>
    </cfRule>
    <cfRule type="expression" dxfId="3" priority="267">
      <formula>AND(H26&lt;30000,X26&lt;30000)</formula>
    </cfRule>
  </conditionalFormatting>
  <conditionalFormatting sqref="Y27">
    <cfRule type="cellIs" dxfId="2" priority="274" operator="lessThanOrEqual">
      <formula>I27</formula>
    </cfRule>
  </conditionalFormatting>
  <conditionalFormatting sqref="Y28">
    <cfRule type="cellIs" dxfId="2" priority="279" operator="lessThanOrEqual">
      <formula>I28</formula>
    </cfRule>
  </conditionalFormatting>
  <conditionalFormatting sqref="Y29">
    <cfRule type="cellIs" dxfId="2" priority="284" operator="lessThanOrEqual">
      <formula>I29</formula>
    </cfRule>
  </conditionalFormatting>
  <conditionalFormatting sqref="Y31">
    <cfRule type="cellIs" dxfId="2" priority="289" operator="lessThanOrEqual">
      <formula>I31</formula>
    </cfRule>
  </conditionalFormatting>
  <conditionalFormatting sqref="Y32">
    <cfRule type="cellIs" dxfId="2" priority="294" operator="lessThanOrEqual">
      <formula>I32</formula>
    </cfRule>
  </conditionalFormatting>
  <conditionalFormatting sqref="Y35">
    <cfRule type="cellIs" dxfId="2" priority="298" operator="lessThanOrEqual">
      <formula>I35</formula>
    </cfRule>
  </conditionalFormatting>
  <conditionalFormatting sqref="Y36">
    <cfRule type="cellIs" dxfId="2" priority="303" operator="lessThanOrEqual">
      <formula>I36</formula>
    </cfRule>
  </conditionalFormatting>
  <conditionalFormatting sqref="Y37">
    <cfRule type="cellIs" dxfId="2" priority="307" operator="lessThanOrEqual">
      <formula>I37</formula>
    </cfRule>
  </conditionalFormatting>
  <conditionalFormatting sqref="Y40">
    <cfRule type="cellIs" dxfId="2" priority="311" operator="lessThanOrEqual">
      <formula>I40</formula>
    </cfRule>
  </conditionalFormatting>
  <conditionalFormatting sqref="Y41">
    <cfRule type="cellIs" dxfId="2" priority="316" operator="lessThanOrEqual">
      <formula>I41</formula>
    </cfRule>
  </conditionalFormatting>
  <conditionalFormatting sqref="Y7">
    <cfRule type="cellIs" dxfId="2" priority="185" operator="lessThanOrEqual">
      <formula>I7</formula>
    </cfRule>
  </conditionalFormatting>
  <conditionalFormatting sqref="Y8">
    <cfRule type="cellIs" dxfId="2" priority="190" operator="lessThanOrEqual">
      <formula>I8</formula>
    </cfRule>
  </conditionalFormatting>
  <conditionalFormatting sqref="Y9">
    <cfRule type="cellIs" dxfId="2" priority="195" operator="lessThanOrEqual">
      <formula>I9</formula>
    </cfRule>
  </conditionalFormatting>
  <conditionalFormatting sqref="Z13">
    <cfRule type="expression" dxfId="3" priority="217">
      <formula>AND(H13&lt;4000,X13&lt;4000)</formula>
    </cfRule>
  </conditionalFormatting>
  <conditionalFormatting sqref="Z20">
    <cfRule type="expression" dxfId="3" priority="229">
      <formula>AND(H20&lt;30000,X20&lt;30000)</formula>
    </cfRule>
  </conditionalFormatting>
  <conditionalFormatting sqref="Z21">
    <cfRule type="expression" dxfId="3" priority="237">
      <formula>AND(H21&lt;30000,X21&lt;30000)</formula>
    </cfRule>
  </conditionalFormatting>
  <conditionalFormatting sqref="Z25">
    <cfRule type="expression" dxfId="3" priority="260">
      <formula>AND(H25&lt;30000,X25&lt;30000)</formula>
    </cfRule>
  </conditionalFormatting>
  <conditionalFormatting sqref="Z26">
    <cfRule type="expression" dxfId="3" priority="268">
      <formula>AND(H26&lt;30000,X26&lt;30000)</formula>
    </cfRule>
  </conditionalFormatting>
  <hyperlinks>
    <hyperlink ref="G7" r:id="rId1"/>
    <hyperlink ref="V7" r:id="rId2"/>
    <hyperlink ref="AB7" r:id="rId3"/>
    <hyperlink ref="AH7" r:id="rId4"/>
    <hyperlink ref="AN7" r:id="rId5"/>
    <hyperlink ref="AT7" r:id="rId6"/>
    <hyperlink ref="G8" r:id="rId7"/>
    <hyperlink ref="P8" r:id="rId8"/>
    <hyperlink ref="V8" r:id="rId9"/>
    <hyperlink ref="AB8" r:id="rId10"/>
    <hyperlink ref="AH8" r:id="rId11"/>
    <hyperlink ref="AN8" r:id="rId12"/>
    <hyperlink ref="AT8" r:id="rId13"/>
    <hyperlink ref="G9" r:id="rId14"/>
    <hyperlink ref="P9" r:id="rId15"/>
    <hyperlink ref="V9" r:id="rId16"/>
    <hyperlink ref="AB9" r:id="rId17"/>
    <hyperlink ref="AH9" r:id="rId18"/>
    <hyperlink ref="AN9" r:id="rId19"/>
    <hyperlink ref="AT9" r:id="rId20"/>
    <hyperlink ref="G10" r:id="rId21"/>
    <hyperlink ref="P10" r:id="rId22"/>
    <hyperlink ref="V10" r:id="rId23"/>
    <hyperlink ref="AB10" r:id="rId24"/>
    <hyperlink ref="AH10" r:id="rId25"/>
    <hyperlink ref="AN10" r:id="rId26"/>
    <hyperlink ref="AT10" r:id="rId27"/>
    <hyperlink ref="AZ10" r:id="rId28"/>
    <hyperlink ref="G11" r:id="rId29"/>
    <hyperlink ref="P11" r:id="rId30"/>
    <hyperlink ref="V11" r:id="rId31"/>
    <hyperlink ref="AB11" r:id="rId32"/>
    <hyperlink ref="AH11" r:id="rId33"/>
    <hyperlink ref="AN11" r:id="rId34"/>
    <hyperlink ref="AT11" r:id="rId35"/>
    <hyperlink ref="V12" r:id="rId36"/>
    <hyperlink ref="AB12" r:id="rId37"/>
    <hyperlink ref="AN12" r:id="rId38"/>
    <hyperlink ref="AT12" r:id="rId39"/>
    <hyperlink ref="AZ12" r:id="rId40"/>
    <hyperlink ref="P13" r:id="rId41"/>
    <hyperlink ref="V13" r:id="rId42"/>
    <hyperlink ref="AB13" r:id="rId43"/>
    <hyperlink ref="AN13" r:id="rId44"/>
    <hyperlink ref="AT13" r:id="rId45"/>
    <hyperlink ref="BF13" r:id="rId46"/>
    <hyperlink ref="V14" r:id="rId47"/>
    <hyperlink ref="AB14" r:id="rId48"/>
    <hyperlink ref="AN14" r:id="rId49"/>
    <hyperlink ref="AT14" r:id="rId50"/>
    <hyperlink ref="BF14" r:id="rId51"/>
    <hyperlink ref="G19" r:id="rId52"/>
    <hyperlink ref="AH19" r:id="rId53"/>
    <hyperlink ref="G20" r:id="rId54"/>
    <hyperlink ref="P20" r:id="rId55"/>
    <hyperlink ref="V20" r:id="rId56"/>
    <hyperlink ref="AB20" r:id="rId57"/>
    <hyperlink ref="AN20" r:id="rId58"/>
    <hyperlink ref="AT20" r:id="rId59"/>
    <hyperlink ref="AZ20" r:id="rId60"/>
    <hyperlink ref="G21" r:id="rId61"/>
    <hyperlink ref="V21" r:id="rId62"/>
    <hyperlink ref="AB21" r:id="rId63"/>
    <hyperlink ref="AN21" r:id="rId64"/>
    <hyperlink ref="AT21" r:id="rId65"/>
    <hyperlink ref="AZ21" r:id="rId66"/>
    <hyperlink ref="G22" r:id="rId67"/>
    <hyperlink ref="P22" r:id="rId68"/>
    <hyperlink ref="V22" r:id="rId69"/>
    <hyperlink ref="AB22" r:id="rId70"/>
    <hyperlink ref="AH22" r:id="rId71"/>
    <hyperlink ref="AN22" r:id="rId72"/>
    <hyperlink ref="AT22" r:id="rId73"/>
    <hyperlink ref="AZ22" r:id="rId74"/>
    <hyperlink ref="G23" r:id="rId75"/>
    <hyperlink ref="P23" r:id="rId76"/>
    <hyperlink ref="V23" r:id="rId77"/>
    <hyperlink ref="AB23" r:id="rId78"/>
    <hyperlink ref="AH23" r:id="rId79"/>
    <hyperlink ref="AN23" r:id="rId80"/>
    <hyperlink ref="AT23" r:id="rId81"/>
    <hyperlink ref="G24" r:id="rId82"/>
    <hyperlink ref="P24" r:id="rId83"/>
    <hyperlink ref="V24" r:id="rId84"/>
    <hyperlink ref="AB24" r:id="rId85"/>
    <hyperlink ref="AH24" r:id="rId86"/>
    <hyperlink ref="AN24" r:id="rId87"/>
    <hyperlink ref="AT24" r:id="rId88"/>
    <hyperlink ref="AZ24" r:id="rId89"/>
    <hyperlink ref="G25" r:id="rId90"/>
    <hyperlink ref="V25" r:id="rId91"/>
    <hyperlink ref="AB25" r:id="rId92"/>
    <hyperlink ref="AN25" r:id="rId93"/>
    <hyperlink ref="AT25" r:id="rId94"/>
    <hyperlink ref="G26" r:id="rId95"/>
    <hyperlink ref="P26" r:id="rId96"/>
    <hyperlink ref="V26" r:id="rId97"/>
    <hyperlink ref="AB26" r:id="rId98"/>
    <hyperlink ref="AH26" r:id="rId99"/>
    <hyperlink ref="AN26" r:id="rId100"/>
    <hyperlink ref="AT26" r:id="rId101"/>
    <hyperlink ref="AZ26" r:id="rId102"/>
    <hyperlink ref="G27" r:id="rId103"/>
    <hyperlink ref="P27" r:id="rId104"/>
    <hyperlink ref="V27" r:id="rId105"/>
    <hyperlink ref="AB27" r:id="rId106"/>
    <hyperlink ref="AN27" r:id="rId107"/>
    <hyperlink ref="AT27" r:id="rId108"/>
    <hyperlink ref="AZ27" r:id="rId109"/>
    <hyperlink ref="G28" r:id="rId110"/>
    <hyperlink ref="P28" r:id="rId111"/>
    <hyperlink ref="V28" r:id="rId112"/>
    <hyperlink ref="AB28" r:id="rId113"/>
    <hyperlink ref="AH28" r:id="rId114"/>
    <hyperlink ref="AN28" r:id="rId115"/>
    <hyperlink ref="AT28" r:id="rId116"/>
    <hyperlink ref="AZ28" r:id="rId117"/>
    <hyperlink ref="G29" r:id="rId118"/>
    <hyperlink ref="V29" r:id="rId119"/>
    <hyperlink ref="AB29" r:id="rId120"/>
    <hyperlink ref="AH29" r:id="rId121"/>
    <hyperlink ref="AN29" r:id="rId122"/>
    <hyperlink ref="AT29" r:id="rId123"/>
    <hyperlink ref="G31" r:id="rId124"/>
    <hyperlink ref="V31" r:id="rId125"/>
    <hyperlink ref="AB31" r:id="rId126"/>
    <hyperlink ref="AN31" r:id="rId127"/>
    <hyperlink ref="AT31" r:id="rId128"/>
    <hyperlink ref="AZ31" r:id="rId129"/>
    <hyperlink ref="BF31" r:id="rId130"/>
    <hyperlink ref="G32" r:id="rId131"/>
    <hyperlink ref="V32" r:id="rId132"/>
    <hyperlink ref="AB32" r:id="rId133"/>
    <hyperlink ref="AN32" r:id="rId134"/>
    <hyperlink ref="AT32" r:id="rId135"/>
    <hyperlink ref="AZ32" r:id="rId136"/>
    <hyperlink ref="G33" r:id="rId137"/>
    <hyperlink ref="V33" r:id="rId138"/>
    <hyperlink ref="AN33" r:id="rId139"/>
    <hyperlink ref="G34" r:id="rId140"/>
    <hyperlink ref="V34" r:id="rId141"/>
    <hyperlink ref="AN34" r:id="rId142"/>
    <hyperlink ref="G35" r:id="rId143"/>
    <hyperlink ref="V35" r:id="rId144"/>
    <hyperlink ref="AB35" r:id="rId145"/>
    <hyperlink ref="AN35" r:id="rId146"/>
    <hyperlink ref="AT35" r:id="rId147"/>
    <hyperlink ref="G36" r:id="rId148"/>
    <hyperlink ref="V36" r:id="rId149"/>
    <hyperlink ref="AB36" r:id="rId150"/>
    <hyperlink ref="AN36" r:id="rId151"/>
    <hyperlink ref="AT36" r:id="rId152"/>
    <hyperlink ref="AZ36" r:id="rId153"/>
    <hyperlink ref="BF36" r:id="rId154"/>
    <hyperlink ref="G37" r:id="rId155"/>
    <hyperlink ref="P37" r:id="rId156"/>
    <hyperlink ref="V37" r:id="rId157"/>
    <hyperlink ref="AB37" r:id="rId158"/>
    <hyperlink ref="AN37" r:id="rId159"/>
    <hyperlink ref="AT37" r:id="rId160"/>
    <hyperlink ref="AZ37" r:id="rId161"/>
    <hyperlink ref="BF37" r:id="rId162"/>
    <hyperlink ref="G38" r:id="rId163"/>
    <hyperlink ref="G39" r:id="rId164"/>
    <hyperlink ref="P39" r:id="rId165"/>
    <hyperlink ref="V39" r:id="rId166"/>
    <hyperlink ref="G40" r:id="rId167"/>
    <hyperlink ref="V40" r:id="rId168"/>
    <hyperlink ref="AB40" r:id="rId169"/>
    <hyperlink ref="AN40" r:id="rId170"/>
    <hyperlink ref="AT40" r:id="rId171"/>
    <hyperlink ref="G41" r:id="rId172"/>
    <hyperlink ref="V41" r:id="rId173"/>
    <hyperlink ref="AB41" r:id="rId174"/>
    <hyperlink ref="AN41" r:id="rId175"/>
    <hyperlink ref="AT41" r:id="rId176"/>
    <hyperlink ref="K43" r:id="rId177"/>
    <hyperlink ref="Q43" r:id="rId178"/>
    <hyperlink ref="W43" r:id="rId179"/>
    <hyperlink ref="AC43" r:id="rId180"/>
    <hyperlink ref="AI43" r:id="rId181"/>
    <hyperlink ref="AO43" r:id="rId182"/>
    <hyperlink ref="AU43" r:id="rId183"/>
    <hyperlink ref="BA43" r:id="rId184"/>
  </hyperlinks>
  <pageMargins left="0.7" right="0.7" top="0.75" bottom="0.75" header="0.3" footer="0.3"/>
  <legacyDrawing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reDIP-SID-BOM</vt:lpstr>
      <vt:lpstr>'reDIP-SID-BOM'!BoardQty</vt:lpstr>
      <vt:lpstr>'reDIP-SID-BOM'!PURCHASE_DESCRIPTION</vt:lpstr>
      <vt:lpstr>'reDIP-SID-BOM'!TotalCost</vt:lpstr>
      <vt:lpstr>'reDIP-SID-BOM'!USD_GBP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2022-02-12T18:23:41Z</dcterms:created>
  <dcterms:modified xsi:type="dcterms:W3CDTF">2022-02-12T18:23:41Z</dcterms:modified>
</cp:coreProperties>
</file>