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DF44AE01-3792-45C9-8075-BBC33CB19485}" xr6:coauthVersionLast="47" xr6:coauthVersionMax="47" xr10:uidLastSave="{00000000-0000-0000-0000-000000000000}"/>
  <bookViews>
    <workbookView xWindow="-120" yWindow="-16320" windowWidth="29040" windowHeight="15840" tabRatio="808" activeTab="4"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4" l="1"/>
  <c r="A6" i="34"/>
  <c r="B3" i="34"/>
  <c r="B4" i="34"/>
  <c r="B5" i="34"/>
  <c r="B7" i="34"/>
  <c r="B8" i="34"/>
  <c r="A8" i="34"/>
  <c r="A7" i="34"/>
  <c r="A5" i="34"/>
  <c r="A4" i="34"/>
  <c r="A3" i="34"/>
  <c r="B2" i="34"/>
  <c r="A2" i="34"/>
  <c r="B1" i="34"/>
  <c r="A1" i="34"/>
  <c r="D3" i="33"/>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B9" i="26"/>
  <c r="B6" i="26"/>
  <c r="D7" i="24"/>
  <c r="E7" i="24"/>
  <c r="B3" i="26"/>
  <c r="B4" i="27"/>
  <c r="B3" i="27"/>
  <c r="B5" i="33" l="1"/>
  <c r="B2" i="33"/>
  <c r="D5" i="32"/>
  <c r="B14" i="27"/>
  <c r="B7" i="28"/>
  <c r="B6" i="28"/>
  <c r="B5" i="28"/>
  <c r="B4" i="28"/>
  <c r="B3" i="28"/>
  <c r="B2" i="28"/>
  <c r="B1" i="28"/>
  <c r="B19" i="27" l="1"/>
  <c r="B17" i="27"/>
  <c r="B11" i="27"/>
  <c r="B8" i="27"/>
  <c r="B7" i="25"/>
  <c r="B13" i="25"/>
  <c r="B4" i="25"/>
  <c r="B3" i="25"/>
  <c r="B8" i="25" l="1"/>
  <c r="B1" i="25"/>
  <c r="B2" i="25" s="1"/>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<sst xmlns="http://schemas.openxmlformats.org/spreadsheetml/2006/main" count="547" uniqueCount="269">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</sst>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2"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47">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8">
    <dxf>
      <font>
        <color theme="0" tint="-0.24994659260841701"/>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4"/>
  <sheetViews>
    <sheetView workbookViewId="0">
      <selection activeCell="A2" sqref="A2"/>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1E-10</v>
      </c>
      <c r="C1" s="90" t="s">
        <v>87</v>
      </c>
      <c r="D1" s="236" t="s">
        <v>234</v>
      </c>
      <c r="E1" s="69"/>
      <c r="F1" s="69"/>
      <c r="G1" s="69"/>
    </row>
    <row r="2" spans="1:10" ht="15" customHeight="1" x14ac:dyDescent="0.25">
      <c r="A2" s="77" t="s">
        <v>75</v>
      </c>
      <c r="B2" s="131">
        <v>1E-10</v>
      </c>
      <c r="C2" s="90" t="s">
        <v>87</v>
      </c>
      <c r="D2" s="236"/>
      <c r="E2" s="69"/>
      <c r="F2" s="69"/>
      <c r="G2" s="69"/>
    </row>
    <row r="3" spans="1:10" ht="15" customHeight="1" x14ac:dyDescent="0.25">
      <c r="A3" s="77" t="s">
        <v>80</v>
      </c>
      <c r="B3" s="131">
        <v>1E-10</v>
      </c>
      <c r="C3" s="90" t="s">
        <v>87</v>
      </c>
      <c r="D3" s="236"/>
      <c r="E3" s="69"/>
      <c r="F3" s="69"/>
      <c r="G3" s="69"/>
    </row>
    <row r="4" spans="1:10" ht="15" customHeight="1" x14ac:dyDescent="0.25">
      <c r="A4" s="77" t="s">
        <v>81</v>
      </c>
      <c r="B4" s="131">
        <v>1E-10</v>
      </c>
      <c r="C4" s="90" t="s">
        <v>87</v>
      </c>
      <c r="D4" s="236"/>
      <c r="E4" s="69"/>
      <c r="F4" s="69"/>
      <c r="G4" s="69"/>
    </row>
    <row r="5" spans="1:10" ht="15" customHeight="1" x14ac:dyDescent="0.25">
      <c r="A5" s="77" t="s">
        <v>82</v>
      </c>
      <c r="B5" s="131">
        <v>1E-10</v>
      </c>
      <c r="C5" s="90" t="s">
        <v>87</v>
      </c>
      <c r="D5" s="236"/>
      <c r="E5" s="69"/>
      <c r="F5" s="69"/>
      <c r="G5" s="69"/>
    </row>
    <row r="6" spans="1:10" ht="15" customHeight="1" x14ac:dyDescent="0.25">
      <c r="A6" s="108" t="s">
        <v>83</v>
      </c>
      <c r="B6" s="136">
        <f>B1/2</f>
        <v>5.0000000000000002E-11</v>
      </c>
      <c r="C6" s="126" t="s">
        <v>87</v>
      </c>
      <c r="D6" s="236"/>
      <c r="E6" s="69"/>
      <c r="F6" s="69"/>
      <c r="G6" s="69"/>
    </row>
    <row r="7" spans="1:10" ht="15" customHeight="1" x14ac:dyDescent="0.25">
      <c r="A7" s="151" t="s">
        <v>84</v>
      </c>
      <c r="B7" s="152">
        <v>1E-10</v>
      </c>
      <c r="C7" s="153" t="s">
        <v>87</v>
      </c>
      <c r="D7" s="236"/>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8" sqref="C18"/>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62" t="s">
        <v>91</v>
      </c>
      <c r="B1" s="163" t="s">
        <v>240</v>
      </c>
      <c r="C1" s="163" t="s">
        <v>236</v>
      </c>
      <c r="D1" s="164" t="s">
        <v>237</v>
      </c>
      <c r="E1" s="163" t="s">
        <v>238</v>
      </c>
      <c r="F1" s="164" t="s">
        <v>239</v>
      </c>
      <c r="G1" s="164" t="s">
        <v>256</v>
      </c>
    </row>
    <row r="2" spans="1:9" ht="13.2" x14ac:dyDescent="0.25">
      <c r="A2" s="76" t="s">
        <v>74</v>
      </c>
      <c r="B2" s="172" t="s">
        <v>92</v>
      </c>
      <c r="C2" s="172">
        <v>-79.37</v>
      </c>
      <c r="D2" s="172">
        <v>-26.57</v>
      </c>
      <c r="E2" s="172" t="s">
        <v>92</v>
      </c>
      <c r="F2" s="172" t="s">
        <v>92</v>
      </c>
      <c r="G2" s="169">
        <v>3</v>
      </c>
      <c r="H2" s="165" t="s">
        <v>88</v>
      </c>
      <c r="I2" s="236" t="s">
        <v>257</v>
      </c>
    </row>
    <row r="3" spans="1:9" ht="13.2" x14ac:dyDescent="0.25">
      <c r="A3" s="77" t="s">
        <v>75</v>
      </c>
      <c r="B3" s="172" t="s">
        <v>92</v>
      </c>
      <c r="C3" s="172">
        <v>-50.6</v>
      </c>
      <c r="D3" s="172">
        <v>-32.200000000000003</v>
      </c>
      <c r="E3" s="172" t="s">
        <v>92</v>
      </c>
      <c r="F3" s="172" t="s">
        <v>92</v>
      </c>
      <c r="G3" s="170">
        <v>2</v>
      </c>
      <c r="H3" s="166" t="s">
        <v>88</v>
      </c>
      <c r="I3" s="236"/>
    </row>
    <row r="4" spans="1:9" ht="13.2" x14ac:dyDescent="0.25">
      <c r="A4" s="77" t="s">
        <v>80</v>
      </c>
      <c r="B4" s="172" t="s">
        <v>92</v>
      </c>
      <c r="C4" s="172">
        <v>-103.7</v>
      </c>
      <c r="D4" s="172">
        <v>-111.3</v>
      </c>
      <c r="E4" s="172" t="s">
        <v>92</v>
      </c>
      <c r="F4" s="172" t="s">
        <v>92</v>
      </c>
      <c r="G4" s="170">
        <v>2</v>
      </c>
      <c r="H4" s="166" t="s">
        <v>88</v>
      </c>
      <c r="I4" s="236"/>
    </row>
    <row r="5" spans="1:9" ht="13.2" x14ac:dyDescent="0.25">
      <c r="A5" s="77" t="s">
        <v>81</v>
      </c>
      <c r="B5" s="172" t="s">
        <v>92</v>
      </c>
      <c r="C5" s="172">
        <v>16.399999999999999</v>
      </c>
      <c r="D5" s="172" t="s">
        <v>92</v>
      </c>
      <c r="E5" s="172" t="s">
        <v>92</v>
      </c>
      <c r="F5" s="172" t="s">
        <v>92</v>
      </c>
      <c r="G5" s="170">
        <v>2</v>
      </c>
      <c r="H5" s="166" t="s">
        <v>88</v>
      </c>
      <c r="I5" s="236"/>
    </row>
    <row r="6" spans="1:9" ht="13.2" x14ac:dyDescent="0.25">
      <c r="A6" s="77" t="s">
        <v>82</v>
      </c>
      <c r="B6" s="172">
        <f>-386</f>
        <v>-386</v>
      </c>
      <c r="C6" s="172">
        <v>-623.16</v>
      </c>
      <c r="D6" s="172">
        <v>-586.85</v>
      </c>
      <c r="E6" s="172">
        <v>-527.79999999999995</v>
      </c>
      <c r="F6" s="172" t="s">
        <v>92</v>
      </c>
      <c r="G6" s="170">
        <v>3</v>
      </c>
      <c r="H6" s="166" t="s">
        <v>88</v>
      </c>
      <c r="I6" s="236"/>
    </row>
    <row r="7" spans="1:9" ht="13.2" x14ac:dyDescent="0.25">
      <c r="A7" s="77" t="s">
        <v>83</v>
      </c>
      <c r="B7" s="176" t="s">
        <v>92</v>
      </c>
      <c r="C7" s="176">
        <v>-755.9</v>
      </c>
      <c r="D7" s="176">
        <f>-180.69*4.184</f>
        <v>-756.00696000000005</v>
      </c>
      <c r="E7" s="176">
        <f>-177.97*4.184</f>
        <v>-744.62648000000002</v>
      </c>
      <c r="F7" s="176" t="s">
        <v>92</v>
      </c>
      <c r="G7" s="171">
        <v>4</v>
      </c>
      <c r="H7" s="74" t="s">
        <v>88</v>
      </c>
      <c r="I7" s="236"/>
    </row>
    <row r="8" spans="1:9" s="71" customFormat="1" ht="13.2" x14ac:dyDescent="0.25">
      <c r="A8" s="151" t="s">
        <v>84</v>
      </c>
      <c r="B8" s="178" t="s">
        <v>92</v>
      </c>
      <c r="C8" s="178">
        <v>0</v>
      </c>
      <c r="D8" s="178" t="s">
        <v>92</v>
      </c>
      <c r="E8" s="178" t="s">
        <v>92</v>
      </c>
      <c r="F8" s="179" t="s">
        <v>92</v>
      </c>
      <c r="G8" s="198">
        <v>2</v>
      </c>
      <c r="H8" s="73" t="s">
        <v>88</v>
      </c>
      <c r="I8" s="236"/>
    </row>
    <row r="9" spans="1:9" s="71" customFormat="1" ht="13.2" x14ac:dyDescent="0.25">
      <c r="A9" s="108" t="s">
        <v>85</v>
      </c>
      <c r="B9" s="180" t="s">
        <v>92</v>
      </c>
      <c r="C9" s="178">
        <v>0</v>
      </c>
      <c r="D9" s="178" t="s">
        <v>92</v>
      </c>
      <c r="E9" s="178" t="s">
        <v>92</v>
      </c>
      <c r="F9" s="179" t="s">
        <v>92</v>
      </c>
      <c r="G9" s="198">
        <v>2</v>
      </c>
      <c r="H9" s="93" t="s">
        <v>89</v>
      </c>
      <c r="I9" s="236"/>
    </row>
    <row r="10" spans="1:9" s="71" customFormat="1" ht="13.2" x14ac:dyDescent="0.25">
      <c r="A10" s="160" t="s">
        <v>86</v>
      </c>
      <c r="B10" s="177" t="s">
        <v>92</v>
      </c>
      <c r="C10" s="177">
        <v>-237.18</v>
      </c>
      <c r="D10" s="177">
        <v>-157.30000000000001</v>
      </c>
      <c r="E10" s="177" t="s">
        <v>92</v>
      </c>
      <c r="F10" s="177" t="s">
        <v>92</v>
      </c>
      <c r="G10" s="197">
        <v>2</v>
      </c>
      <c r="H10" s="73" t="s">
        <v>88</v>
      </c>
      <c r="I10" s="236"/>
    </row>
    <row r="11" spans="1:9" s="71" customFormat="1" thickBot="1" x14ac:dyDescent="0.3">
      <c r="A11" s="161" t="s">
        <v>18</v>
      </c>
      <c r="B11" s="172" t="s">
        <v>92</v>
      </c>
      <c r="C11" s="172">
        <v>0</v>
      </c>
      <c r="D11" s="172" t="s">
        <v>92</v>
      </c>
      <c r="E11" s="172" t="s">
        <v>92</v>
      </c>
      <c r="F11" s="172" t="s">
        <v>92</v>
      </c>
      <c r="G11" s="171">
        <v>2</v>
      </c>
      <c r="H11" s="74" t="s">
        <v>88</v>
      </c>
      <c r="I11" s="236"/>
    </row>
    <row r="12" spans="1:9" s="71" customFormat="1" ht="28.2" customHeight="1" thickBot="1" x14ac:dyDescent="0.3">
      <c r="A12" s="162" t="s">
        <v>91</v>
      </c>
      <c r="B12" s="167" t="s">
        <v>242</v>
      </c>
      <c r="C12" s="167" t="s">
        <v>243</v>
      </c>
      <c r="D12" s="168" t="s">
        <v>244</v>
      </c>
      <c r="E12" s="167" t="s">
        <v>245</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35" t="s">
        <v>258</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35"/>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35"/>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35"/>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35"/>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35"/>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35"/>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35"/>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35"/>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35"/>
    </row>
    <row r="23" spans="1:9" ht="28.2" customHeight="1" thickBot="1" x14ac:dyDescent="0.3">
      <c r="A23" s="237" t="s">
        <v>241</v>
      </c>
      <c r="B23" s="238"/>
      <c r="C23" s="238"/>
      <c r="D23" s="238"/>
      <c r="E23" s="238"/>
      <c r="F23" s="239"/>
    </row>
    <row r="24" spans="1:9" ht="13.2" x14ac:dyDescent="0.25">
      <c r="A24" s="76" t="s">
        <v>74</v>
      </c>
      <c r="B24" s="175" t="s">
        <v>93</v>
      </c>
      <c r="C24" s="175">
        <v>1</v>
      </c>
      <c r="D24" s="175">
        <v>0</v>
      </c>
      <c r="E24" s="175" t="s">
        <v>93</v>
      </c>
      <c r="F24" s="175" t="s">
        <v>93</v>
      </c>
      <c r="I24" s="235" t="s">
        <v>259</v>
      </c>
    </row>
    <row r="25" spans="1:9" ht="13.2" x14ac:dyDescent="0.25">
      <c r="A25" s="77" t="s">
        <v>75</v>
      </c>
      <c r="B25" s="175" t="s">
        <v>93</v>
      </c>
      <c r="C25" s="175">
        <v>0</v>
      </c>
      <c r="D25" s="175">
        <v>-1</v>
      </c>
      <c r="E25" s="175" t="s">
        <v>93</v>
      </c>
      <c r="F25" s="175" t="s">
        <v>93</v>
      </c>
      <c r="I25" s="235"/>
    </row>
    <row r="26" spans="1:9" ht="13.2" x14ac:dyDescent="0.25">
      <c r="A26" s="77" t="s">
        <v>80</v>
      </c>
      <c r="B26" s="175" t="s">
        <v>93</v>
      </c>
      <c r="C26" s="175">
        <v>0</v>
      </c>
      <c r="D26" s="175">
        <v>-1</v>
      </c>
      <c r="E26" s="175" t="s">
        <v>93</v>
      </c>
      <c r="F26" s="175" t="s">
        <v>93</v>
      </c>
      <c r="I26" s="235"/>
    </row>
    <row r="27" spans="1:9" ht="13.2" x14ac:dyDescent="0.25">
      <c r="A27" s="77" t="s">
        <v>81</v>
      </c>
      <c r="B27" s="175" t="s">
        <v>93</v>
      </c>
      <c r="C27" s="175">
        <v>0</v>
      </c>
      <c r="D27" s="175" t="s">
        <v>93</v>
      </c>
      <c r="E27" s="175" t="s">
        <v>93</v>
      </c>
      <c r="F27" s="175" t="s">
        <v>93</v>
      </c>
      <c r="I27" s="235"/>
    </row>
    <row r="28" spans="1:9" ht="13.2" x14ac:dyDescent="0.25">
      <c r="A28" s="77" t="s">
        <v>82</v>
      </c>
      <c r="B28" s="175">
        <v>0</v>
      </c>
      <c r="C28" s="175">
        <v>0</v>
      </c>
      <c r="D28" s="175">
        <v>-1</v>
      </c>
      <c r="E28" s="175">
        <v>-2</v>
      </c>
      <c r="F28" s="175" t="s">
        <v>93</v>
      </c>
      <c r="I28" s="235"/>
    </row>
    <row r="29" spans="1:9" ht="13.2" x14ac:dyDescent="0.25">
      <c r="A29" s="108" t="s">
        <v>83</v>
      </c>
      <c r="B29" s="187" t="s">
        <v>93</v>
      </c>
      <c r="C29" s="188">
        <v>0</v>
      </c>
      <c r="D29" s="188">
        <v>-1</v>
      </c>
      <c r="E29" s="188">
        <v>-2</v>
      </c>
      <c r="F29" s="188" t="s">
        <v>93</v>
      </c>
      <c r="I29" s="235"/>
    </row>
    <row r="30" spans="1:9" ht="13.2" x14ac:dyDescent="0.25">
      <c r="A30" s="151" t="s">
        <v>84</v>
      </c>
      <c r="B30" s="191" t="s">
        <v>93</v>
      </c>
      <c r="C30" s="192">
        <v>1</v>
      </c>
      <c r="D30" s="192" t="s">
        <v>93</v>
      </c>
      <c r="E30" s="192" t="s">
        <v>93</v>
      </c>
      <c r="F30" s="192" t="s">
        <v>93</v>
      </c>
      <c r="I30" s="235"/>
    </row>
    <row r="31" spans="1:9" ht="13.2" x14ac:dyDescent="0.25">
      <c r="A31" s="151" t="s">
        <v>85</v>
      </c>
      <c r="B31" s="189" t="s">
        <v>93</v>
      </c>
      <c r="C31" s="190">
        <v>0</v>
      </c>
      <c r="D31" s="190" t="s">
        <v>93</v>
      </c>
      <c r="E31" s="190" t="s">
        <v>93</v>
      </c>
      <c r="F31" s="190" t="s">
        <v>93</v>
      </c>
      <c r="I31" s="235"/>
    </row>
    <row r="32" spans="1:9" ht="13.2" x14ac:dyDescent="0.25">
      <c r="A32" s="160" t="s">
        <v>86</v>
      </c>
      <c r="B32" s="186" t="s">
        <v>93</v>
      </c>
      <c r="C32" s="186">
        <v>0</v>
      </c>
      <c r="D32" s="186">
        <v>-1</v>
      </c>
      <c r="E32" s="186" t="s">
        <v>93</v>
      </c>
      <c r="F32" s="186" t="s">
        <v>93</v>
      </c>
      <c r="I32" s="235"/>
    </row>
    <row r="33" spans="1:9" thickBot="1" x14ac:dyDescent="0.3">
      <c r="A33" s="161" t="s">
        <v>18</v>
      </c>
      <c r="B33" s="175" t="s">
        <v>93</v>
      </c>
      <c r="C33" s="175">
        <v>1</v>
      </c>
      <c r="D33" s="175" t="s">
        <v>93</v>
      </c>
      <c r="E33" s="175" t="s">
        <v>93</v>
      </c>
      <c r="F33" s="175" t="s">
        <v>93</v>
      </c>
      <c r="I33" s="235"/>
    </row>
  </sheetData>
  <mergeCells count="4">
    <mergeCell ref="A23:F23"/>
    <mergeCell ref="I2:I11"/>
    <mergeCell ref="I13:I22"/>
    <mergeCell ref="I24:I33"/>
  </mergeCells>
  <conditionalFormatting sqref="B2:F11 B24:F33 B13:E17 B19:E22 B18 D18:E18">
    <cfRule type="containsText" dxfId="61" priority="54" operator="containsText" text="NA">
      <formula>NOT(ISERROR(SEARCH("NA",B2)))</formula>
    </cfRule>
    <cfRule type="containsText" dxfId="60" priority="55" operator="containsText" text="Inf">
      <formula>NOT(ISERROR(SEARCH("Inf",B2)))</formula>
    </cfRule>
  </conditionalFormatting>
  <conditionalFormatting sqref="B13:E17 B19:E22 B18 D18:E18">
    <cfRule type="cellIs" dxfId="59"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56" t="s">
        <v>74</v>
      </c>
      <c r="C1" s="156" t="s">
        <v>75</v>
      </c>
      <c r="D1" s="156" t="s">
        <v>80</v>
      </c>
      <c r="E1" s="156" t="s">
        <v>81</v>
      </c>
      <c r="F1" s="240" t="s">
        <v>253</v>
      </c>
    </row>
    <row r="2" spans="1:6" x14ac:dyDescent="0.25">
      <c r="A2" s="76" t="s">
        <v>73</v>
      </c>
      <c r="B2" s="157">
        <v>9.9999999999999995E-7</v>
      </c>
      <c r="C2" s="157">
        <v>0</v>
      </c>
      <c r="D2" s="157">
        <v>0</v>
      </c>
      <c r="E2" s="157">
        <f>(0.1/32)/1000</f>
        <v>3.1250000000000001E-6</v>
      </c>
      <c r="F2" s="240"/>
    </row>
    <row r="3" spans="1:6" x14ac:dyDescent="0.25">
      <c r="A3" s="77" t="s">
        <v>254</v>
      </c>
      <c r="B3" s="157">
        <v>0</v>
      </c>
      <c r="C3" s="157">
        <v>9.9999999999999995E-7</v>
      </c>
      <c r="D3" s="157">
        <v>0</v>
      </c>
      <c r="E3" s="157">
        <f t="shared" ref="E3:E7" si="0">(0.1/32)/1000</f>
        <v>3.1250000000000001E-6</v>
      </c>
      <c r="F3" s="240"/>
    </row>
    <row r="4" spans="1:6" x14ac:dyDescent="0.25">
      <c r="A4" s="77" t="s">
        <v>255</v>
      </c>
      <c r="B4" s="157">
        <v>0</v>
      </c>
      <c r="C4" s="157">
        <v>9.9999999999999995E-7</v>
      </c>
      <c r="D4" s="157">
        <v>0</v>
      </c>
      <c r="E4" s="157">
        <f t="shared" si="0"/>
        <v>3.1250000000000001E-6</v>
      </c>
      <c r="F4" s="240"/>
    </row>
    <row r="5" spans="1:6" x14ac:dyDescent="0.25">
      <c r="A5" s="77" t="s">
        <v>76</v>
      </c>
      <c r="B5" s="157">
        <v>9.9999999999999995E-7</v>
      </c>
      <c r="C5" s="157">
        <v>9.9999999999999995E-7</v>
      </c>
      <c r="D5" s="157">
        <v>0</v>
      </c>
      <c r="E5" s="157">
        <v>0</v>
      </c>
      <c r="F5" s="240"/>
    </row>
    <row r="6" spans="1:6" x14ac:dyDescent="0.25">
      <c r="A6" s="77" t="s">
        <v>120</v>
      </c>
      <c r="B6" s="157">
        <v>9.9999999999999995E-7</v>
      </c>
      <c r="C6" s="157">
        <v>0</v>
      </c>
      <c r="D6" s="157">
        <v>0</v>
      </c>
      <c r="E6" s="157">
        <f t="shared" si="0"/>
        <v>3.1250000000000001E-6</v>
      </c>
      <c r="F6" s="240"/>
    </row>
    <row r="7" spans="1:6" ht="13.8" thickBot="1" x14ac:dyDescent="0.3">
      <c r="A7" s="89" t="s">
        <v>121</v>
      </c>
      <c r="B7" s="157">
        <v>9.9999999999999995E-7</v>
      </c>
      <c r="C7" s="157">
        <v>0</v>
      </c>
      <c r="D7" s="157">
        <v>9.9999999999999995E-7</v>
      </c>
      <c r="E7" s="157">
        <f t="shared" si="0"/>
        <v>3.1250000000000001E-6</v>
      </c>
      <c r="F7" s="240"/>
    </row>
  </sheetData>
  <mergeCells count="1">
    <mergeCell ref="F1:F7"/>
  </mergeCells>
  <phoneticPr fontId="40" type="noConversion"/>
  <conditionalFormatting sqref="B2:E7">
    <cfRule type="cellIs" dxfId="58"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0" t="s">
        <v>252</v>
      </c>
    </row>
    <row r="2" spans="1:5" x14ac:dyDescent="0.25">
      <c r="A2" s="76" t="s">
        <v>73</v>
      </c>
      <c r="B2" s="157">
        <v>0</v>
      </c>
      <c r="C2" s="157">
        <v>0</v>
      </c>
      <c r="D2" s="157">
        <v>0</v>
      </c>
      <c r="E2" s="240"/>
    </row>
    <row r="3" spans="1:5" x14ac:dyDescent="0.25">
      <c r="A3" s="77" t="s">
        <v>254</v>
      </c>
      <c r="B3" s="157">
        <v>0</v>
      </c>
      <c r="C3" s="157">
        <v>0</v>
      </c>
      <c r="D3" s="157">
        <v>0</v>
      </c>
      <c r="E3" s="240"/>
    </row>
    <row r="4" spans="1:5" x14ac:dyDescent="0.25">
      <c r="A4" s="77" t="s">
        <v>255</v>
      </c>
      <c r="B4" s="157">
        <v>0</v>
      </c>
      <c r="C4" s="157">
        <v>0</v>
      </c>
      <c r="D4" s="157">
        <v>0</v>
      </c>
      <c r="E4" s="240"/>
    </row>
    <row r="5" spans="1:5" x14ac:dyDescent="0.25">
      <c r="A5" s="77" t="s">
        <v>76</v>
      </c>
      <c r="B5" s="157">
        <v>0</v>
      </c>
      <c r="C5" s="157">
        <v>0</v>
      </c>
      <c r="D5" s="157">
        <f>0.01*(1/32)*(1/1000)</f>
        <v>3.1250000000000003E-7</v>
      </c>
      <c r="E5" s="240"/>
    </row>
    <row r="6" spans="1:5" x14ac:dyDescent="0.25">
      <c r="A6" s="77" t="s">
        <v>120</v>
      </c>
      <c r="B6" s="157">
        <v>0</v>
      </c>
      <c r="C6" s="157">
        <v>0</v>
      </c>
      <c r="D6" s="157">
        <v>0</v>
      </c>
      <c r="E6" s="240"/>
    </row>
    <row r="7" spans="1:5" ht="13.8" thickBot="1" x14ac:dyDescent="0.3">
      <c r="A7" s="89" t="s">
        <v>121</v>
      </c>
      <c r="B7" s="157">
        <v>0</v>
      </c>
      <c r="C7" s="157">
        <v>0</v>
      </c>
      <c r="D7" s="157">
        <v>0</v>
      </c>
      <c r="E7" s="240"/>
    </row>
  </sheetData>
  <mergeCells count="1">
    <mergeCell ref="E1:E7"/>
  </mergeCells>
  <conditionalFormatting sqref="B2:D7">
    <cfRule type="cellIs" dxfId="57"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E7"/>
  <sheetViews>
    <sheetView workbookViewId="0">
      <selection activeCell="C7" sqref="C7"/>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s>
  <sheetData>
    <row r="1" spans="1:5" ht="13.8" thickBot="1" x14ac:dyDescent="0.3">
      <c r="B1" s="156" t="s">
        <v>251</v>
      </c>
      <c r="C1" s="156" t="s">
        <v>72</v>
      </c>
      <c r="D1" s="156" t="s">
        <v>249</v>
      </c>
      <c r="E1" s="156" t="s">
        <v>250</v>
      </c>
    </row>
    <row r="2" spans="1:5" x14ac:dyDescent="0.25">
      <c r="A2" s="76" t="s">
        <v>73</v>
      </c>
      <c r="B2" s="157">
        <f>0.0415</f>
        <v>4.1500000000000002E-2</v>
      </c>
      <c r="C2" s="158" t="s">
        <v>74</v>
      </c>
      <c r="D2" s="159">
        <f>E2*0.1</f>
        <v>1E-3</v>
      </c>
      <c r="E2" s="159">
        <v>0.01</v>
      </c>
    </row>
    <row r="3" spans="1:5" x14ac:dyDescent="0.25">
      <c r="A3" s="77" t="s">
        <v>254</v>
      </c>
      <c r="B3" s="157">
        <v>2.07E-2</v>
      </c>
      <c r="C3" s="158" t="s">
        <v>75</v>
      </c>
      <c r="D3" s="159">
        <f t="shared" ref="D3:D7" si="0">E3*0.1</f>
        <v>1E-3</v>
      </c>
      <c r="E3" s="159">
        <v>0.01</v>
      </c>
    </row>
    <row r="4" spans="1:5" x14ac:dyDescent="0.25">
      <c r="A4" s="77" t="s">
        <v>255</v>
      </c>
      <c r="B4" s="157">
        <v>2.07E-2</v>
      </c>
      <c r="C4" s="158" t="s">
        <v>75</v>
      </c>
      <c r="D4" s="159">
        <f t="shared" si="0"/>
        <v>1E-3</v>
      </c>
      <c r="E4" s="159">
        <v>0.01</v>
      </c>
    </row>
    <row r="5" spans="1:5" x14ac:dyDescent="0.25">
      <c r="A5" s="77" t="s">
        <v>76</v>
      </c>
      <c r="B5" s="157">
        <f>0.066</f>
        <v>6.6000000000000003E-2</v>
      </c>
      <c r="C5" s="158" t="s">
        <v>74</v>
      </c>
      <c r="D5" s="159">
        <f t="shared" si="0"/>
        <v>1E-3</v>
      </c>
      <c r="E5" s="159">
        <v>0.01</v>
      </c>
    </row>
    <row r="6" spans="1:5" x14ac:dyDescent="0.25">
      <c r="A6" s="77" t="s">
        <v>120</v>
      </c>
      <c r="B6" s="157">
        <v>6.2199999999999998E-2</v>
      </c>
      <c r="C6" s="157" t="s">
        <v>74</v>
      </c>
      <c r="D6" s="159">
        <f t="shared" si="0"/>
        <v>1E-3</v>
      </c>
      <c r="E6" s="159">
        <v>0.01</v>
      </c>
    </row>
    <row r="7" spans="1:5" ht="13.8" thickBot="1" x14ac:dyDescent="0.3">
      <c r="A7" s="89" t="s">
        <v>121</v>
      </c>
      <c r="B7" s="157">
        <v>1.7399999999999999E-2</v>
      </c>
      <c r="C7" s="157" t="s">
        <v>80</v>
      </c>
      <c r="D7" s="159">
        <f t="shared" si="0"/>
        <v>1E-3</v>
      </c>
      <c r="E7" s="159">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43" t="s">
        <v>73</v>
      </c>
      <c r="C1" s="241"/>
      <c r="D1" s="242"/>
      <c r="E1" s="243" t="s">
        <v>254</v>
      </c>
      <c r="F1" s="241"/>
      <c r="G1" s="242"/>
      <c r="H1" s="243" t="s">
        <v>255</v>
      </c>
      <c r="I1" s="241"/>
      <c r="J1" s="242"/>
      <c r="K1" s="241" t="s">
        <v>76</v>
      </c>
      <c r="L1" s="241"/>
      <c r="M1" s="242"/>
      <c r="N1" s="241" t="s">
        <v>120</v>
      </c>
      <c r="O1" s="241"/>
      <c r="P1" s="242"/>
      <c r="Q1" s="241" t="s">
        <v>121</v>
      </c>
      <c r="R1" s="241"/>
      <c r="S1" s="242"/>
    </row>
    <row r="2" spans="1:19"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5">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5">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5">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5">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5">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5">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5">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5">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5">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8" thickBot="1" x14ac:dyDescent="0.3">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56" priority="94" operator="equal">
      <formula>0</formula>
    </cfRule>
  </conditionalFormatting>
  <conditionalFormatting sqref="G3">
    <cfRule type="cellIs" dxfId="55" priority="60" operator="equal">
      <formula>0</formula>
    </cfRule>
  </conditionalFormatting>
  <conditionalFormatting sqref="D10:D12">
    <cfRule type="cellIs" dxfId="54" priority="73" operator="equal">
      <formula>0</formula>
    </cfRule>
  </conditionalFormatting>
  <conditionalFormatting sqref="D9">
    <cfRule type="cellIs" dxfId="53" priority="56" operator="equal">
      <formula>0</formula>
    </cfRule>
  </conditionalFormatting>
  <conditionalFormatting sqref="B3:B7">
    <cfRule type="cellIs" dxfId="52" priority="67" operator="equal">
      <formula>0</formula>
    </cfRule>
  </conditionalFormatting>
  <conditionalFormatting sqref="D3">
    <cfRule type="cellIs" dxfId="51" priority="66" operator="equal">
      <formula>0</formula>
    </cfRule>
  </conditionalFormatting>
  <conditionalFormatting sqref="D4:D7">
    <cfRule type="cellIs" dxfId="50" priority="65" operator="equal">
      <formula>0</formula>
    </cfRule>
  </conditionalFormatting>
  <conditionalFormatting sqref="G4:G7">
    <cfRule type="cellIs" dxfId="49" priority="59" operator="equal">
      <formula>0</formula>
    </cfRule>
  </conditionalFormatting>
  <conditionalFormatting sqref="B9">
    <cfRule type="cellIs" dxfId="48" priority="58" operator="equal">
      <formula>0</formula>
    </cfRule>
  </conditionalFormatting>
  <conditionalFormatting sqref="E9">
    <cfRule type="cellIs" dxfId="47" priority="55" operator="equal">
      <formula>0</formula>
    </cfRule>
  </conditionalFormatting>
  <conditionalFormatting sqref="F9">
    <cfRule type="cellIs" dxfId="46" priority="54" operator="equal">
      <formula>0</formula>
    </cfRule>
  </conditionalFormatting>
  <conditionalFormatting sqref="G9">
    <cfRule type="cellIs" dxfId="45" priority="53" operator="equal">
      <formula>0</formula>
    </cfRule>
  </conditionalFormatting>
  <conditionalFormatting sqref="B8">
    <cfRule type="cellIs" dxfId="44" priority="52" operator="equal">
      <formula>0</formula>
    </cfRule>
  </conditionalFormatting>
  <conditionalFormatting sqref="D8">
    <cfRule type="cellIs" dxfId="43" priority="50" operator="equal">
      <formula>0</formula>
    </cfRule>
  </conditionalFormatting>
  <conditionalFormatting sqref="E8">
    <cfRule type="cellIs" dxfId="42" priority="49" operator="equal">
      <formula>0</formula>
    </cfRule>
  </conditionalFormatting>
  <conditionalFormatting sqref="F8">
    <cfRule type="cellIs" dxfId="41" priority="48" operator="equal">
      <formula>0</formula>
    </cfRule>
  </conditionalFormatting>
  <conditionalFormatting sqref="G8">
    <cfRule type="cellIs" dxfId="40" priority="47" operator="equal">
      <formula>0</formula>
    </cfRule>
  </conditionalFormatting>
  <conditionalFormatting sqref="H3:I7 H10:I12">
    <cfRule type="cellIs" dxfId="39" priority="46" operator="equal">
      <formula>0</formula>
    </cfRule>
  </conditionalFormatting>
  <conditionalFormatting sqref="J3">
    <cfRule type="cellIs" dxfId="38" priority="42" operator="equal">
      <formula>0</formula>
    </cfRule>
  </conditionalFormatting>
  <conditionalFormatting sqref="J4:J7">
    <cfRule type="cellIs" dxfId="37" priority="41" operator="equal">
      <formula>0</formula>
    </cfRule>
  </conditionalFormatting>
  <conditionalFormatting sqref="H9">
    <cfRule type="cellIs" dxfId="36" priority="40" operator="equal">
      <formula>0</formula>
    </cfRule>
  </conditionalFormatting>
  <conditionalFormatting sqref="I9">
    <cfRule type="cellIs" dxfId="35" priority="39" operator="equal">
      <formula>0</formula>
    </cfRule>
  </conditionalFormatting>
  <conditionalFormatting sqref="J9">
    <cfRule type="cellIs" dxfId="34" priority="38" operator="equal">
      <formula>0</formula>
    </cfRule>
  </conditionalFormatting>
  <conditionalFormatting sqref="H8">
    <cfRule type="cellIs" dxfId="33" priority="37" operator="equal">
      <formula>0</formula>
    </cfRule>
  </conditionalFormatting>
  <conditionalFormatting sqref="I8">
    <cfRule type="cellIs" dxfId="32" priority="36" operator="equal">
      <formula>0</formula>
    </cfRule>
  </conditionalFormatting>
  <conditionalFormatting sqref="J8">
    <cfRule type="cellIs" dxfId="31" priority="35" operator="equal">
      <formula>0</formula>
    </cfRule>
  </conditionalFormatting>
  <conditionalFormatting sqref="L3:L7 K10:L12 N10:N12 Q10:Q12">
    <cfRule type="cellIs" dxfId="30" priority="34" operator="equal">
      <formula>0</formula>
    </cfRule>
  </conditionalFormatting>
  <conditionalFormatting sqref="M10:M12">
    <cfRule type="cellIs" dxfId="29" priority="33" operator="equal">
      <formula>0</formula>
    </cfRule>
  </conditionalFormatting>
  <conditionalFormatting sqref="M9">
    <cfRule type="cellIs" dxfId="28" priority="26" operator="equal">
      <formula>0</formula>
    </cfRule>
  </conditionalFormatting>
  <conditionalFormatting sqref="K3:K7 N3:N7 Q3:Q7">
    <cfRule type="cellIs" dxfId="27" priority="31" operator="equal">
      <formula>0</formula>
    </cfRule>
  </conditionalFormatting>
  <conditionalFormatting sqref="M3">
    <cfRule type="cellIs" dxfId="26" priority="30" operator="equal">
      <formula>0</formula>
    </cfRule>
  </conditionalFormatting>
  <conditionalFormatting sqref="M4:M7">
    <cfRule type="cellIs" dxfId="25" priority="29" operator="equal">
      <formula>0</formula>
    </cfRule>
  </conditionalFormatting>
  <conditionalFormatting sqref="K9 N9 Q9">
    <cfRule type="cellIs" dxfId="24" priority="28" operator="equal">
      <formula>0</formula>
    </cfRule>
  </conditionalFormatting>
  <conditionalFormatting sqref="L9">
    <cfRule type="cellIs" dxfId="23" priority="27" operator="equal">
      <formula>0</formula>
    </cfRule>
  </conditionalFormatting>
  <conditionalFormatting sqref="K8 N8 Q8">
    <cfRule type="cellIs" dxfId="22" priority="25" operator="equal">
      <formula>0</formula>
    </cfRule>
  </conditionalFormatting>
  <conditionalFormatting sqref="L8">
    <cfRule type="cellIs" dxfId="21" priority="24" operator="equal">
      <formula>0</formula>
    </cfRule>
  </conditionalFormatting>
  <conditionalFormatting sqref="M8">
    <cfRule type="cellIs" dxfId="20" priority="23" operator="equal">
      <formula>0</formula>
    </cfRule>
  </conditionalFormatting>
  <conditionalFormatting sqref="O3:O7 O10:O12">
    <cfRule type="cellIs" dxfId="19" priority="22" operator="equal">
      <formula>0</formula>
    </cfRule>
  </conditionalFormatting>
  <conditionalFormatting sqref="O9">
    <cfRule type="cellIs" dxfId="18" priority="21" operator="equal">
      <formula>0</formula>
    </cfRule>
  </conditionalFormatting>
  <conditionalFormatting sqref="O8">
    <cfRule type="cellIs" dxfId="17" priority="20" operator="equal">
      <formula>0</formula>
    </cfRule>
  </conditionalFormatting>
  <conditionalFormatting sqref="R3:R7 R10:R12">
    <cfRule type="cellIs" dxfId="16" priority="19" operator="equal">
      <formula>0</formula>
    </cfRule>
  </conditionalFormatting>
  <conditionalFormatting sqref="R9">
    <cfRule type="cellIs" dxfId="15" priority="18" operator="equal">
      <formula>0</formula>
    </cfRule>
  </conditionalFormatting>
  <conditionalFormatting sqref="R8">
    <cfRule type="cellIs" dxfId="14" priority="17" operator="equal">
      <formula>0</formula>
    </cfRule>
  </conditionalFormatting>
  <conditionalFormatting sqref="P10:P12">
    <cfRule type="cellIs" dxfId="13" priority="16" operator="equal">
      <formula>0</formula>
    </cfRule>
  </conditionalFormatting>
  <conditionalFormatting sqref="P9">
    <cfRule type="cellIs" dxfId="12" priority="13" operator="equal">
      <formula>0</formula>
    </cfRule>
  </conditionalFormatting>
  <conditionalFormatting sqref="P3">
    <cfRule type="cellIs" dxfId="11" priority="15" operator="equal">
      <formula>0</formula>
    </cfRule>
  </conditionalFormatting>
  <conditionalFormatting sqref="P4:P7">
    <cfRule type="cellIs" dxfId="10" priority="14" operator="equal">
      <formula>0</formula>
    </cfRule>
  </conditionalFormatting>
  <conditionalFormatting sqref="P8">
    <cfRule type="cellIs" dxfId="9" priority="12" operator="equal">
      <formula>0</formula>
    </cfRule>
  </conditionalFormatting>
  <conditionalFormatting sqref="S10:S12">
    <cfRule type="cellIs" dxfId="8" priority="11" operator="equal">
      <formula>0</formula>
    </cfRule>
  </conditionalFormatting>
  <conditionalFormatting sqref="S9">
    <cfRule type="cellIs" dxfId="7" priority="8" operator="equal">
      <formula>0</formula>
    </cfRule>
  </conditionalFormatting>
  <conditionalFormatting sqref="S3">
    <cfRule type="cellIs" dxfId="6" priority="10" operator="equal">
      <formula>0</formula>
    </cfRule>
  </conditionalFormatting>
  <conditionalFormatting sqref="S4:S7">
    <cfRule type="cellIs" dxfId="5" priority="9" operator="equal">
      <formula>0</formula>
    </cfRule>
  </conditionalFormatting>
  <conditionalFormatting sqref="S8">
    <cfRule type="cellIs" dxfId="4" priority="7" operator="equal">
      <formula>0</formula>
    </cfRule>
  </conditionalFormatting>
  <conditionalFormatting sqref="C3:C7 C10:C12">
    <cfRule type="cellIs" dxfId="3" priority="3" operator="equal">
      <formula>0</formula>
    </cfRule>
  </conditionalFormatting>
  <conditionalFormatting sqref="C9">
    <cfRule type="cellIs" dxfId="2" priority="2" operator="equal">
      <formula>0</formula>
    </cfRule>
  </conditionalFormatting>
  <conditionalFormatting sqref="C8">
    <cfRule type="cellIs" dxfId="1"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18" t="s">
        <v>0</v>
      </c>
      <c r="T2" s="218"/>
      <c r="U2" s="218"/>
      <c r="V2" s="218"/>
      <c r="W2" s="218" t="s">
        <v>1</v>
      </c>
      <c r="X2" s="218"/>
      <c r="Y2" s="218"/>
      <c r="Z2" s="218"/>
      <c r="AA2" s="218" t="s">
        <v>2</v>
      </c>
      <c r="AB2" s="218"/>
      <c r="AC2" s="218"/>
      <c r="AD2" s="218"/>
      <c r="AE2" s="218" t="s">
        <v>3</v>
      </c>
      <c r="AF2" s="218"/>
      <c r="AG2" s="218"/>
      <c r="AH2" s="218"/>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19" t="s">
        <v>54</v>
      </c>
      <c r="K17" s="222"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20"/>
      <c r="K18" s="223"/>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20"/>
      <c r="K19" s="223"/>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20"/>
      <c r="K20" s="223"/>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20"/>
      <c r="K21" s="223"/>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20"/>
      <c r="K22" s="223"/>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20"/>
      <c r="K23" s="223"/>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20"/>
      <c r="K24" s="223"/>
      <c r="V24" s="51" t="s">
        <v>63</v>
      </c>
      <c r="Z24" s="51" t="s">
        <v>63</v>
      </c>
      <c r="AD24" s="51" t="s">
        <v>63</v>
      </c>
      <c r="AH24" s="51" t="s">
        <v>63</v>
      </c>
    </row>
    <row r="25" spans="2:36" ht="15.6" x14ac:dyDescent="0.3">
      <c r="B25" s="58"/>
      <c r="C25" s="58"/>
      <c r="D25" s="19"/>
      <c r="E25" s="19"/>
      <c r="F25" s="19"/>
      <c r="G25" s="59"/>
      <c r="J25" s="220"/>
      <c r="K25" s="223"/>
    </row>
    <row r="26" spans="2:36" ht="17.399999999999999" x14ac:dyDescent="0.3">
      <c r="B26" s="58"/>
      <c r="C26" s="58"/>
      <c r="D26" s="19"/>
      <c r="E26" s="19"/>
      <c r="F26" s="19"/>
      <c r="G26" s="59"/>
      <c r="J26" s="220"/>
      <c r="K26" s="223"/>
      <c r="N26" s="225" t="s">
        <v>64</v>
      </c>
      <c r="O26" s="226"/>
      <c r="P26" s="226"/>
      <c r="Q26" s="227"/>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20"/>
      <c r="K27" s="223"/>
      <c r="N27" s="225" t="s">
        <v>66</v>
      </c>
      <c r="O27" s="226"/>
      <c r="P27" s="226"/>
      <c r="Q27" s="227"/>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20"/>
      <c r="K28" s="223"/>
      <c r="O28" s="27"/>
      <c r="P28" s="27"/>
      <c r="Q28" s="27"/>
    </row>
    <row r="29" spans="2:36" ht="15.6" x14ac:dyDescent="0.3">
      <c r="B29" s="58"/>
      <c r="C29" s="58"/>
      <c r="D29" s="19"/>
      <c r="E29" s="19"/>
      <c r="F29" s="19"/>
      <c r="G29" s="59"/>
      <c r="J29" s="220"/>
      <c r="K29" s="223"/>
    </row>
    <row r="30" spans="2:36" x14ac:dyDescent="0.3">
      <c r="J30" s="220"/>
      <c r="K30" s="223"/>
    </row>
    <row r="31" spans="2:36" x14ac:dyDescent="0.3">
      <c r="J31" s="220"/>
      <c r="K31" s="223"/>
    </row>
    <row r="32" spans="2:36" x14ac:dyDescent="0.3">
      <c r="J32" s="220"/>
      <c r="K32" s="223"/>
    </row>
    <row r="33" spans="10:26" ht="15" thickBot="1" x14ac:dyDescent="0.35">
      <c r="J33" s="221"/>
      <c r="K33" s="224"/>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4" priority="18" operator="equal">
      <formula>0</formula>
    </cfRule>
  </conditionalFormatting>
  <conditionalFormatting sqref="S17:AD23">
    <cfRule type="cellIs" dxfId="83" priority="19" operator="notBetween">
      <formula>0.0000000001</formula>
      <formula>-0.0000000001</formula>
    </cfRule>
    <cfRule type="cellIs" dxfId="82" priority="20" operator="between">
      <formula>0.0000000001</formula>
      <formula>-0.0000000001</formula>
    </cfRule>
  </conditionalFormatting>
  <conditionalFormatting sqref="S8:AB8 AD8">
    <cfRule type="cellIs" dxfId="81" priority="13" operator="equal">
      <formula>0</formula>
    </cfRule>
  </conditionalFormatting>
  <conditionalFormatting sqref="AC5:AC7 AC9:AC16">
    <cfRule type="cellIs" dxfId="80" priority="12" operator="equal">
      <formula>0</formula>
    </cfRule>
  </conditionalFormatting>
  <conditionalFormatting sqref="AC8">
    <cfRule type="cellIs" dxfId="79" priority="11" operator="equal">
      <formula>0</formula>
    </cfRule>
  </conditionalFormatting>
  <conditionalFormatting sqref="AG8">
    <cfRule type="cellIs" dxfId="78" priority="5" operator="equal">
      <formula>0</formula>
    </cfRule>
  </conditionalFormatting>
  <conditionalFormatting sqref="AE5:AF7 AE9:AF16 AH9:AI16 AH5:AJ5 AH6:AI7 AJ6:AJ16 AH4">
    <cfRule type="cellIs" dxfId="77" priority="8" operator="equal">
      <formula>0</formula>
    </cfRule>
  </conditionalFormatting>
  <conditionalFormatting sqref="AE17:AJ23">
    <cfRule type="cellIs" dxfId="76" priority="9" operator="notBetween">
      <formula>0.0000000001</formula>
      <formula>-0.0000000001</formula>
    </cfRule>
    <cfRule type="cellIs" dxfId="75" priority="10" operator="between">
      <formula>0.0000000001</formula>
      <formula>-0.0000000001</formula>
    </cfRule>
  </conditionalFormatting>
  <conditionalFormatting sqref="AE8:AF8 AH8:AI8">
    <cfRule type="cellIs" dxfId="74" priority="7" operator="equal">
      <formula>0</formula>
    </cfRule>
  </conditionalFormatting>
  <conditionalFormatting sqref="AG5:AG7 AG9:AG16">
    <cfRule type="cellIs" dxfId="73" priority="6" operator="equal">
      <formula>0</formula>
    </cfRule>
  </conditionalFormatting>
  <conditionalFormatting sqref="AD4 S4:AB4">
    <cfRule type="cellIs" dxfId="72" priority="4" operator="equal">
      <formula>0</formula>
    </cfRule>
  </conditionalFormatting>
  <conditionalFormatting sqref="AC4">
    <cfRule type="cellIs" dxfId="71" priority="3" operator="equal">
      <formula>0</formula>
    </cfRule>
  </conditionalFormatting>
  <conditionalFormatting sqref="AE4:AF4 AI4">
    <cfRule type="cellIs" dxfId="70" priority="2" operator="equal">
      <formula>0</formula>
    </cfRule>
  </conditionalFormatting>
  <conditionalFormatting sqref="AG4">
    <cfRule type="cellIs" dxfId="69"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A2" sqref="A2:B2"/>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0" t="s">
        <v>267</v>
      </c>
    </row>
    <row r="2" spans="1:7" ht="14.4" x14ac:dyDescent="0.25">
      <c r="A2" s="77" t="str">
        <f>Parameters!A2</f>
        <v>Variable HRT</v>
      </c>
      <c r="B2" s="99" t="b">
        <f>Parameters!B2</f>
        <v>1</v>
      </c>
      <c r="C2" s="240"/>
    </row>
    <row r="3" spans="1:7" ht="14.4" x14ac:dyDescent="0.25">
      <c r="A3" s="77" t="str">
        <f>Bacteria!A6</f>
        <v>Initialisation method</v>
      </c>
      <c r="B3" s="99" t="str">
        <f>Bacteria!B6</f>
        <v>granule</v>
      </c>
      <c r="C3" s="240"/>
    </row>
    <row r="4" spans="1:7" ht="14.4" x14ac:dyDescent="0.25">
      <c r="A4" s="77" t="str">
        <f>Bacteria!A10</f>
        <v>Inactivation enabled</v>
      </c>
      <c r="B4" s="99" t="b">
        <f>Bacteria!B10</f>
        <v>1</v>
      </c>
      <c r="C4" s="240"/>
    </row>
    <row r="5" spans="1:7" ht="14.4" x14ac:dyDescent="0.25">
      <c r="A5" s="77" t="str">
        <f>Bacteria!A11</f>
        <v>Detachment method</v>
      </c>
      <c r="B5" s="99" t="str">
        <f>Bacteria!B11</f>
        <v>mechanistic</v>
      </c>
      <c r="C5" s="240"/>
    </row>
    <row r="6" spans="1:7" ht="14.4" x14ac:dyDescent="0.25">
      <c r="A6" s="77" t="str">
        <f>Solver!A4</f>
        <v>pH bulk concentration corrected</v>
      </c>
      <c r="B6" s="99" t="b">
        <f>Solver!B4</f>
        <v>1</v>
      </c>
      <c r="C6" s="240"/>
    </row>
    <row r="7" spans="1:7" ht="14.4" x14ac:dyDescent="0.25">
      <c r="A7" s="77" t="str">
        <f>Solver!A2</f>
        <v>pH solving included</v>
      </c>
      <c r="B7" s="99" t="b">
        <f>Solver!B2</f>
        <v>1</v>
      </c>
      <c r="C7" s="240"/>
    </row>
    <row r="8" spans="1:7" ht="14.4" customHeight="1" x14ac:dyDescent="0.25">
      <c r="A8" s="77" t="str">
        <f>Solver!A5</f>
        <v>Speciation included</v>
      </c>
      <c r="B8" s="99" t="b">
        <f>Solver!B5</f>
        <v>1</v>
      </c>
      <c r="C8" s="240"/>
    </row>
    <row r="9" spans="1:7" ht="13.2" customHeight="1" x14ac:dyDescent="0.25">
      <c r="C9" s="245"/>
      <c r="G9" s="244"/>
    </row>
    <row r="10" spans="1:7" ht="13.2" customHeight="1" x14ac:dyDescent="0.25">
      <c r="C10" s="245"/>
      <c r="G10" s="244"/>
    </row>
    <row r="11" spans="1:7" ht="13.2" customHeight="1" x14ac:dyDescent="0.25">
      <c r="C11" s="245"/>
      <c r="G11" s="244"/>
    </row>
    <row r="12" spans="1:7" ht="13.2" customHeight="1" x14ac:dyDescent="0.25">
      <c r="C12" s="245"/>
      <c r="G12" s="244"/>
    </row>
    <row r="13" spans="1:7" ht="13.2" customHeight="1" x14ac:dyDescent="0.25">
      <c r="C13" s="245"/>
    </row>
    <row r="14" spans="1:7" ht="13.2" customHeight="1" x14ac:dyDescent="0.25">
      <c r="C14" s="245"/>
    </row>
    <row r="15" spans="1:7" ht="13.2" customHeight="1" x14ac:dyDescent="0.25">
      <c r="C15" s="245"/>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F21" sqref="F21"/>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28" t="s">
        <v>137</v>
      </c>
    </row>
    <row r="2" spans="1:5" ht="14.4" x14ac:dyDescent="0.3">
      <c r="A2" s="77" t="s">
        <v>102</v>
      </c>
      <c r="B2" s="133">
        <v>257</v>
      </c>
      <c r="C2" s="90" t="s">
        <v>97</v>
      </c>
      <c r="D2" s="110" t="s">
        <v>131</v>
      </c>
      <c r="E2" s="228"/>
    </row>
    <row r="3" spans="1:5" ht="14.4" x14ac:dyDescent="0.3">
      <c r="A3" s="77" t="s">
        <v>103</v>
      </c>
      <c r="B3" s="99">
        <f>B5*B1*1000000</f>
        <v>1028</v>
      </c>
      <c r="C3" s="90" t="s">
        <v>123</v>
      </c>
      <c r="D3" s="110" t="s">
        <v>124</v>
      </c>
      <c r="E3" s="228"/>
    </row>
    <row r="4" spans="1:5" ht="14.4" x14ac:dyDescent="0.3">
      <c r="A4" s="77" t="s">
        <v>104</v>
      </c>
      <c r="B4" s="99">
        <f>B6*B2*1000000</f>
        <v>1028</v>
      </c>
      <c r="C4" s="90" t="s">
        <v>123</v>
      </c>
      <c r="D4" s="110" t="s">
        <v>125</v>
      </c>
      <c r="E4" s="228"/>
    </row>
    <row r="5" spans="1:5" ht="14.4" x14ac:dyDescent="0.3">
      <c r="A5" s="77" t="s">
        <v>105</v>
      </c>
      <c r="B5" s="103">
        <v>3.9999999999999998E-6</v>
      </c>
      <c r="C5" s="90" t="s">
        <v>94</v>
      </c>
      <c r="D5" s="110" t="s">
        <v>126</v>
      </c>
      <c r="E5" s="228"/>
    </row>
    <row r="6" spans="1:5" ht="14.4" x14ac:dyDescent="0.3">
      <c r="A6" s="77" t="s">
        <v>106</v>
      </c>
      <c r="B6" s="103">
        <v>3.9999999999999998E-6</v>
      </c>
      <c r="C6" s="90" t="s">
        <v>94</v>
      </c>
      <c r="D6" s="110" t="s">
        <v>127</v>
      </c>
      <c r="E6" s="228"/>
    </row>
    <row r="7" spans="1:5" ht="14.4" x14ac:dyDescent="0.3">
      <c r="A7" s="77" t="s">
        <v>107</v>
      </c>
      <c r="B7" s="103">
        <v>3.9999999999999998E-6</v>
      </c>
      <c r="C7" s="90" t="s">
        <v>94</v>
      </c>
      <c r="D7" s="110" t="s">
        <v>128</v>
      </c>
      <c r="E7" s="228"/>
    </row>
    <row r="8" spans="1:5" ht="15" thickBot="1" x14ac:dyDescent="0.35">
      <c r="A8" s="89" t="s">
        <v>122</v>
      </c>
      <c r="B8" s="104">
        <f>5*10^(-6)</f>
        <v>4.9999999999999996E-6</v>
      </c>
      <c r="C8" s="92" t="s">
        <v>94</v>
      </c>
      <c r="D8" s="111" t="s">
        <v>129</v>
      </c>
      <c r="E8" s="229"/>
    </row>
    <row r="9" spans="1:5" ht="14.4" customHeight="1" x14ac:dyDescent="0.3">
      <c r="A9" s="76" t="s">
        <v>139</v>
      </c>
      <c r="B9" s="105">
        <v>5000</v>
      </c>
      <c r="C9" s="91" t="s">
        <v>100</v>
      </c>
      <c r="D9" s="112" t="s">
        <v>132</v>
      </c>
      <c r="E9" s="230" t="s">
        <v>138</v>
      </c>
    </row>
    <row r="10" spans="1:5" ht="14.4" customHeight="1" x14ac:dyDescent="0.3">
      <c r="A10" s="77" t="s">
        <v>142</v>
      </c>
      <c r="B10" s="102">
        <v>0.2</v>
      </c>
      <c r="C10" s="90" t="s">
        <v>97</v>
      </c>
      <c r="D10" s="110" t="s">
        <v>149</v>
      </c>
      <c r="E10" s="231"/>
    </row>
    <row r="11" spans="1:5" ht="14.4" x14ac:dyDescent="0.3">
      <c r="A11" s="77" t="s">
        <v>145</v>
      </c>
      <c r="B11" s="98">
        <f>$B$5^2 * B10 / MAX(Diffusion!$B:$B)</f>
        <v>6.0468631897203323E-7</v>
      </c>
      <c r="C11" s="90" t="s">
        <v>100</v>
      </c>
      <c r="D11" s="110" t="s">
        <v>151</v>
      </c>
      <c r="E11" s="231"/>
    </row>
    <row r="12" spans="1:5" ht="14.4" x14ac:dyDescent="0.3">
      <c r="A12" s="77" t="s">
        <v>154</v>
      </c>
      <c r="B12" s="102">
        <v>0.5</v>
      </c>
      <c r="C12" s="90" t="s">
        <v>100</v>
      </c>
      <c r="D12" s="110" t="s">
        <v>155</v>
      </c>
      <c r="E12" s="231"/>
    </row>
    <row r="13" spans="1:5" ht="14.4" x14ac:dyDescent="0.3">
      <c r="A13" s="77" t="s">
        <v>133</v>
      </c>
      <c r="B13" s="106">
        <v>24</v>
      </c>
      <c r="C13" s="90" t="s">
        <v>100</v>
      </c>
      <c r="D13" s="110" t="s">
        <v>135</v>
      </c>
      <c r="E13" s="231"/>
    </row>
    <row r="14" spans="1:5" ht="15" thickBot="1" x14ac:dyDescent="0.35">
      <c r="A14" s="89" t="s">
        <v>134</v>
      </c>
      <c r="B14" s="100">
        <f>24*7</f>
        <v>168</v>
      </c>
      <c r="C14" s="124" t="s">
        <v>100</v>
      </c>
      <c r="D14" s="111" t="s">
        <v>136</v>
      </c>
      <c r="E14" s="232"/>
    </row>
    <row r="15" spans="1:5" ht="14.4" x14ac:dyDescent="0.3">
      <c r="A15" s="107" t="s">
        <v>158</v>
      </c>
      <c r="B15" s="134" t="b">
        <v>1</v>
      </c>
      <c r="C15" s="125" t="s">
        <v>97</v>
      </c>
      <c r="D15" s="113" t="s">
        <v>159</v>
      </c>
      <c r="E15" s="230" t="s">
        <v>173</v>
      </c>
    </row>
    <row r="16" spans="1:5" ht="14.4" x14ac:dyDescent="0.3">
      <c r="A16" s="77" t="s">
        <v>140</v>
      </c>
      <c r="B16" s="102">
        <v>0.01</v>
      </c>
      <c r="C16" s="90" t="s">
        <v>97</v>
      </c>
      <c r="D16" s="114" t="s">
        <v>146</v>
      </c>
      <c r="E16" s="231"/>
    </row>
    <row r="17" spans="1:5" ht="14.4" x14ac:dyDescent="0.3">
      <c r="A17" s="77" t="s">
        <v>143</v>
      </c>
      <c r="B17" s="98">
        <f>$B$5^2 * B16 / MAX(Diffusion!$B:$B)</f>
        <v>3.0234315948601663E-8</v>
      </c>
      <c r="C17" s="90" t="s">
        <v>100</v>
      </c>
      <c r="D17" s="114" t="s">
        <v>147</v>
      </c>
      <c r="E17" s="231"/>
    </row>
    <row r="18" spans="1:5" ht="14.4" x14ac:dyDescent="0.3">
      <c r="A18" s="77" t="s">
        <v>141</v>
      </c>
      <c r="B18" s="102">
        <v>0.5</v>
      </c>
      <c r="C18" s="90" t="s">
        <v>97</v>
      </c>
      <c r="D18" s="114" t="s">
        <v>148</v>
      </c>
      <c r="E18" s="231"/>
    </row>
    <row r="19" spans="1:5" ht="14.4" x14ac:dyDescent="0.3">
      <c r="A19" s="77" t="s">
        <v>144</v>
      </c>
      <c r="B19" s="98">
        <f>$B$5^2 * B18 / MAX(Diffusion!$B:$B)</f>
        <v>1.511715797430083E-6</v>
      </c>
      <c r="C19" s="90" t="s">
        <v>100</v>
      </c>
      <c r="D19" s="114" t="s">
        <v>150</v>
      </c>
      <c r="E19" s="231"/>
    </row>
    <row r="20" spans="1:5" ht="14.4" x14ac:dyDescent="0.3">
      <c r="A20" s="77" t="s">
        <v>152</v>
      </c>
      <c r="B20" s="102">
        <v>0.05</v>
      </c>
      <c r="C20" s="90" t="s">
        <v>100</v>
      </c>
      <c r="D20" s="114" t="s">
        <v>156</v>
      </c>
      <c r="E20" s="231"/>
    </row>
    <row r="21" spans="1:5" ht="14.4" x14ac:dyDescent="0.3">
      <c r="A21" s="108" t="s">
        <v>153</v>
      </c>
      <c r="B21" s="109">
        <v>1</v>
      </c>
      <c r="C21" s="126" t="s">
        <v>100</v>
      </c>
      <c r="D21" s="115" t="s">
        <v>157</v>
      </c>
      <c r="E21" s="231"/>
    </row>
    <row r="22" spans="1:5" ht="28.8" x14ac:dyDescent="0.3">
      <c r="A22" s="77" t="s">
        <v>160</v>
      </c>
      <c r="B22" s="102">
        <v>3</v>
      </c>
      <c r="C22" s="127" t="s">
        <v>97</v>
      </c>
      <c r="D22" s="116" t="s">
        <v>166</v>
      </c>
      <c r="E22" s="231"/>
    </row>
    <row r="23" spans="1:5" ht="28.8" x14ac:dyDescent="0.3">
      <c r="A23" s="77" t="s">
        <v>163</v>
      </c>
      <c r="B23" s="102">
        <v>500</v>
      </c>
      <c r="C23" s="127" t="s">
        <v>97</v>
      </c>
      <c r="D23" s="116" t="s">
        <v>167</v>
      </c>
      <c r="E23" s="231"/>
    </row>
    <row r="24" spans="1:5" ht="28.8" x14ac:dyDescent="0.3">
      <c r="A24" s="77" t="s">
        <v>161</v>
      </c>
      <c r="B24" s="102">
        <v>200</v>
      </c>
      <c r="C24" s="127" t="s">
        <v>97</v>
      </c>
      <c r="D24" s="116" t="s">
        <v>168</v>
      </c>
      <c r="E24" s="231"/>
    </row>
    <row r="25" spans="1:5" ht="28.8" x14ac:dyDescent="0.3">
      <c r="A25" s="77" t="s">
        <v>162</v>
      </c>
      <c r="B25" s="102">
        <v>40</v>
      </c>
      <c r="C25" s="127" t="s">
        <v>97</v>
      </c>
      <c r="D25" s="116" t="s">
        <v>169</v>
      </c>
      <c r="E25" s="231"/>
    </row>
    <row r="26" spans="1:5" ht="28.8" x14ac:dyDescent="0.3">
      <c r="A26" s="77" t="s">
        <v>170</v>
      </c>
      <c r="B26" s="119">
        <v>0.2</v>
      </c>
      <c r="C26" s="127" t="s">
        <v>97</v>
      </c>
      <c r="D26" s="116" t="s">
        <v>174</v>
      </c>
      <c r="E26" s="231"/>
    </row>
    <row r="27" spans="1:5" ht="28.8" x14ac:dyDescent="0.3">
      <c r="A27" s="77" t="s">
        <v>164</v>
      </c>
      <c r="B27" s="118">
        <v>9.9999999999999995E-7</v>
      </c>
      <c r="C27" s="127" t="s">
        <v>97</v>
      </c>
      <c r="D27" s="116" t="s">
        <v>171</v>
      </c>
      <c r="E27" s="231"/>
    </row>
    <row r="28" spans="1:5" ht="29.4" thickBot="1" x14ac:dyDescent="0.35">
      <c r="A28" s="89" t="s">
        <v>165</v>
      </c>
      <c r="B28" s="120">
        <v>0.02</v>
      </c>
      <c r="C28" s="124" t="s">
        <v>97</v>
      </c>
      <c r="D28" s="117" t="s">
        <v>172</v>
      </c>
      <c r="E28" s="232"/>
    </row>
  </sheetData>
  <mergeCells count="3">
    <mergeCell ref="E1:E8"/>
    <mergeCell ref="E9:E14"/>
    <mergeCell ref="E15:E28"/>
  </mergeCells>
  <conditionalFormatting sqref="A16:D28">
    <cfRule type="expression" dxfId="68"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workbookViewId="0">
      <selection activeCell="D20" sqref="D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1</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46" t="s">
        <v>74</v>
      </c>
      <c r="C4" s="126" t="s">
        <v>97</v>
      </c>
      <c r="D4" s="123" t="s">
        <v>268</v>
      </c>
      <c r="E4" s="69"/>
    </row>
    <row r="5" spans="1:5" ht="14.4" x14ac:dyDescent="0.3">
      <c r="A5" s="77" t="s">
        <v>39</v>
      </c>
      <c r="B5" s="101">
        <v>20</v>
      </c>
      <c r="C5" s="90" t="s">
        <v>17</v>
      </c>
      <c r="D5" s="110" t="s">
        <v>183</v>
      </c>
      <c r="E5" s="69"/>
    </row>
    <row r="6" spans="1:5" ht="14.4" x14ac:dyDescent="0.3">
      <c r="A6" s="77" t="s">
        <v>247</v>
      </c>
      <c r="B6" s="154">
        <f>B5+273.15</f>
        <v>293.14999999999998</v>
      </c>
      <c r="C6" s="90" t="s">
        <v>41</v>
      </c>
      <c r="D6" s="110" t="s">
        <v>246</v>
      </c>
      <c r="E6" s="69"/>
    </row>
    <row r="7" spans="1:5" ht="14.4" x14ac:dyDescent="0.3">
      <c r="A7" s="77" t="s">
        <v>177</v>
      </c>
      <c r="B7" s="155">
        <v>7</v>
      </c>
      <c r="C7" s="90" t="s">
        <v>97</v>
      </c>
      <c r="D7" s="110" t="s">
        <v>185</v>
      </c>
      <c r="E7" s="69"/>
    </row>
    <row r="8" spans="1:5" ht="28.8" x14ac:dyDescent="0.3">
      <c r="A8" s="77" t="s">
        <v>176</v>
      </c>
      <c r="B8" s="128">
        <f>(((Bacteria!B8/3)*Bacteria!B1)/3)/1000</f>
        <v>2.3271056693257722E-10</v>
      </c>
      <c r="C8" s="90" t="s">
        <v>98</v>
      </c>
      <c r="D8" s="110" t="s">
        <v>186</v>
      </c>
      <c r="E8" s="69"/>
    </row>
    <row r="9" spans="1:5" ht="14.4" x14ac:dyDescent="0.3">
      <c r="A9" s="77" t="s">
        <v>175</v>
      </c>
      <c r="B9" s="97">
        <f>8.3144/1000</f>
        <v>8.3143999999999996E-3</v>
      </c>
      <c r="C9" s="90" t="s">
        <v>248</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7" priority="3">
      <formula>$B$2 = FALSE</formula>
    </cfRule>
  </conditionalFormatting>
  <conditionalFormatting sqref="A1:D1">
    <cfRule type="expression" dxfId="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33" t="s">
        <v>188</v>
      </c>
    </row>
    <row r="2" spans="1:5" ht="14.4" x14ac:dyDescent="0.3">
      <c r="A2" s="77" t="s">
        <v>75</v>
      </c>
      <c r="B2" s="121">
        <f>1.912*10^(-9)*3600*0.7</f>
        <v>4.8182400000000001E-6</v>
      </c>
      <c r="C2" s="90" t="s">
        <v>108</v>
      </c>
      <c r="D2" s="110" t="s">
        <v>187</v>
      </c>
      <c r="E2" s="233"/>
    </row>
    <row r="3" spans="1:5" ht="14.4" x14ac:dyDescent="0.3">
      <c r="A3" s="77" t="s">
        <v>80</v>
      </c>
      <c r="B3" s="121">
        <f>1.902*10^(-9)*3600*0.7</f>
        <v>4.7930399999999991E-6</v>
      </c>
      <c r="C3" s="90" t="s">
        <v>108</v>
      </c>
      <c r="D3" s="110" t="s">
        <v>187</v>
      </c>
      <c r="E3" s="233"/>
    </row>
    <row r="4" spans="1:5" ht="14.4" x14ac:dyDescent="0.3">
      <c r="A4" s="77" t="s">
        <v>81</v>
      </c>
      <c r="B4" s="121">
        <f>2.1*10^(-9)*3600*0.7</f>
        <v>5.2920000000000003E-6</v>
      </c>
      <c r="C4" s="90" t="s">
        <v>108</v>
      </c>
      <c r="D4" s="110" t="s">
        <v>187</v>
      </c>
      <c r="E4" s="233"/>
    </row>
    <row r="5" spans="1:5" ht="14.4" x14ac:dyDescent="0.3">
      <c r="A5" s="77" t="s">
        <v>82</v>
      </c>
      <c r="B5" s="121">
        <f>1.92*10^(-9)*3600*0.7</f>
        <v>4.8384000000000001E-6</v>
      </c>
      <c r="C5" s="90" t="s">
        <v>108</v>
      </c>
      <c r="D5" s="110" t="s">
        <v>187</v>
      </c>
      <c r="E5" s="233"/>
    </row>
    <row r="6" spans="1:5" ht="14.4" x14ac:dyDescent="0.3">
      <c r="A6" s="77" t="s">
        <v>83</v>
      </c>
      <c r="B6" s="121">
        <f>1.385*10^(-9)*3600*0.7</f>
        <v>3.4902000000000001E-6</v>
      </c>
      <c r="C6" s="90" t="s">
        <v>108</v>
      </c>
      <c r="D6" s="110" t="s">
        <v>187</v>
      </c>
      <c r="E6" s="233"/>
    </row>
    <row r="7" spans="1:5" ht="15" thickBot="1" x14ac:dyDescent="0.35">
      <c r="A7" s="89" t="s">
        <v>84</v>
      </c>
      <c r="B7" s="129">
        <f>1.334*10^(-9)*3600*0.7</f>
        <v>3.3616800000000002E-6</v>
      </c>
      <c r="C7" s="92" t="s">
        <v>108</v>
      </c>
      <c r="D7" s="111" t="s">
        <v>187</v>
      </c>
      <c r="E7" s="234"/>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B10" sqref="B10"/>
    </sheetView>
  </sheetViews>
  <sheetFormatPr defaultColWidth="9.109375" defaultRowHeight="13.2" x14ac:dyDescent="0.25"/>
  <cols>
    <col min="1" max="1" width="25.332031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5" ht="14.4" x14ac:dyDescent="0.25">
      <c r="A1" s="77" t="s">
        <v>190</v>
      </c>
      <c r="B1" s="98">
        <f>((4/3)*PI()*B3^3)*B4</f>
        <v>2.0943951023931951E-12</v>
      </c>
      <c r="C1" s="90" t="s">
        <v>16</v>
      </c>
      <c r="D1" s="130" t="s">
        <v>198</v>
      </c>
    </row>
    <row r="2" spans="1:5" ht="14.4" x14ac:dyDescent="0.25">
      <c r="A2" s="77" t="s">
        <v>191</v>
      </c>
      <c r="B2" s="98">
        <f>0.1*B1</f>
        <v>2.0943951023931951E-13</v>
      </c>
      <c r="C2" s="90" t="s">
        <v>16</v>
      </c>
      <c r="D2" s="130" t="s">
        <v>199</v>
      </c>
    </row>
    <row r="3" spans="1:5" ht="14.4" x14ac:dyDescent="0.25">
      <c r="A3" s="77" t="s">
        <v>192</v>
      </c>
      <c r="B3" s="131">
        <f>(1)*10^(-6)</f>
        <v>9.9999999999999995E-7</v>
      </c>
      <c r="C3" s="90" t="s">
        <v>94</v>
      </c>
      <c r="D3" s="130" t="s">
        <v>200</v>
      </c>
    </row>
    <row r="4" spans="1:5" ht="14.4" x14ac:dyDescent="0.25">
      <c r="A4" s="77" t="s">
        <v>193</v>
      </c>
      <c r="B4" s="131">
        <f>500*1000</f>
        <v>500000</v>
      </c>
      <c r="C4" s="90" t="s">
        <v>95</v>
      </c>
      <c r="D4" s="130" t="s">
        <v>201</v>
      </c>
    </row>
    <row r="5" spans="1:5" ht="14.4" x14ac:dyDescent="0.25">
      <c r="A5" s="77" t="s">
        <v>194</v>
      </c>
      <c r="B5" s="138">
        <v>24.6</v>
      </c>
      <c r="C5" s="90" t="s">
        <v>96</v>
      </c>
      <c r="D5" s="130" t="s">
        <v>202</v>
      </c>
    </row>
    <row r="6" spans="1:5" ht="14.4" x14ac:dyDescent="0.25">
      <c r="A6" s="139" t="s">
        <v>224</v>
      </c>
      <c r="B6" s="143" t="s">
        <v>225</v>
      </c>
      <c r="C6" s="141"/>
      <c r="D6" s="142"/>
    </row>
    <row r="7" spans="1:5" ht="14.4" x14ac:dyDescent="0.25">
      <c r="A7" s="108" t="s">
        <v>196</v>
      </c>
      <c r="B7" s="136">
        <f>500*10^(-6)</f>
        <v>5.0000000000000001E-4</v>
      </c>
      <c r="C7" s="126" t="s">
        <v>94</v>
      </c>
      <c r="D7" s="137" t="s">
        <v>204</v>
      </c>
    </row>
    <row r="8" spans="1:5" ht="14.4" x14ac:dyDescent="0.25">
      <c r="A8" s="77" t="s">
        <v>197</v>
      </c>
      <c r="B8" s="131">
        <f>4*ROUND(((B13/2)^2)/((B3)^2),0)</f>
        <v>1000000</v>
      </c>
      <c r="C8" s="90" t="s">
        <v>97</v>
      </c>
      <c r="D8" s="130" t="s">
        <v>205</v>
      </c>
    </row>
    <row r="9" spans="1:5" ht="28.8" x14ac:dyDescent="0.25">
      <c r="A9" s="77" t="s">
        <v>118</v>
      </c>
      <c r="B9" s="132">
        <v>1</v>
      </c>
      <c r="C9" s="90" t="s">
        <v>97</v>
      </c>
      <c r="D9" s="130" t="s">
        <v>206</v>
      </c>
    </row>
    <row r="10" spans="1:5" ht="28.8" x14ac:dyDescent="0.25">
      <c r="A10" s="77" t="s">
        <v>207</v>
      </c>
      <c r="B10" s="138" t="b">
        <v>1</v>
      </c>
      <c r="C10" s="90" t="s">
        <v>97</v>
      </c>
      <c r="D10" s="130" t="s">
        <v>208</v>
      </c>
    </row>
    <row r="11" spans="1:5" ht="14.4" x14ac:dyDescent="0.25">
      <c r="A11" s="139" t="s">
        <v>209</v>
      </c>
      <c r="B11" s="140" t="s">
        <v>212</v>
      </c>
      <c r="C11" s="141" t="s">
        <v>97</v>
      </c>
      <c r="D11" s="142" t="s">
        <v>213</v>
      </c>
    </row>
    <row r="12" spans="1:5" ht="14.4" x14ac:dyDescent="0.25">
      <c r="A12" s="77" t="s">
        <v>210</v>
      </c>
      <c r="B12" s="132">
        <v>5</v>
      </c>
      <c r="C12" s="90" t="s">
        <v>211</v>
      </c>
      <c r="D12" s="130" t="s">
        <v>214</v>
      </c>
    </row>
    <row r="13" spans="1:5" ht="28.8" x14ac:dyDescent="0.25">
      <c r="A13" s="108" t="s">
        <v>195</v>
      </c>
      <c r="B13" s="136">
        <f>1000*10^(-6)</f>
        <v>1E-3</v>
      </c>
      <c r="C13" s="126" t="s">
        <v>94</v>
      </c>
      <c r="D13" s="137" t="s">
        <v>203</v>
      </c>
    </row>
    <row r="14" spans="1:5" x14ac:dyDescent="0.25">
      <c r="A14" s="69"/>
      <c r="B14" s="94"/>
      <c r="C14" s="69"/>
      <c r="D14" s="69"/>
    </row>
    <row r="16" spans="1:5" x14ac:dyDescent="0.25">
      <c r="C16" s="94"/>
      <c r="D16" s="69"/>
      <c r="E16" s="69"/>
    </row>
    <row r="17" spans="3:5" x14ac:dyDescent="0.25">
      <c r="C17" s="69"/>
      <c r="D17" s="94"/>
      <c r="E17" s="69"/>
    </row>
    <row r="18" spans="3:5" x14ac:dyDescent="0.25">
      <c r="C18" s="69"/>
      <c r="D18" s="69"/>
      <c r="E18" s="94"/>
    </row>
  </sheetData>
  <conditionalFormatting sqref="A12:D12">
    <cfRule type="expression" dxfId="66" priority="3">
      <formula>$B$11&lt;&gt;"mechanistic"</formula>
    </cfRule>
  </conditionalFormatting>
  <conditionalFormatting sqref="A13:D13">
    <cfRule type="expression" dxfId="65" priority="2">
      <formula>$B$11&lt;&gt;"naive"</formula>
    </cfRule>
  </conditionalFormatting>
  <conditionalFormatting sqref="A7:D7">
    <cfRule type="expression" dxfId="64" priority="1">
      <formula>$B$6 &lt;&gt; "granule"</formula>
    </cfRule>
  </conditionalFormatting>
  <dataValidations count="3">
    <dataValidation type="list" allowBlank="1" showInputMessage="1" showErrorMessage="1" sqref="B10" xr:uid="{4E7A34FD-A1C4-464E-AB3C-F3887798D8D2}">
      <formula1>"TRUE, FALSE"</formula1>
    </dataValidation>
    <dataValidation type="list" allowBlank="1" showInputMessage="1" showErrorMessage="1" sqref="B11"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19" sqref="C19"/>
    </sheetView>
  </sheetViews>
  <sheetFormatPr defaultColWidth="11.44140625" defaultRowHeight="13.2" x14ac:dyDescent="0.25"/>
  <cols>
    <col min="1" max="1" width="31.33203125" bestFit="1" customWidth="1"/>
    <col min="4" max="4" width="73.6640625" customWidth="1"/>
  </cols>
  <sheetData>
    <row r="1" spans="1:4" ht="14.4" x14ac:dyDescent="0.25">
      <c r="A1" s="77" t="s">
        <v>222</v>
      </c>
      <c r="B1" s="131">
        <v>9.9999999999999995E-7</v>
      </c>
      <c r="C1" s="90" t="s">
        <v>87</v>
      </c>
      <c r="D1" s="130" t="s">
        <v>223</v>
      </c>
    </row>
    <row r="2" spans="1:4" ht="14.4" x14ac:dyDescent="0.25">
      <c r="A2" s="77" t="s">
        <v>226</v>
      </c>
      <c r="B2" s="132" t="b">
        <v>1</v>
      </c>
      <c r="C2" s="90" t="s">
        <v>97</v>
      </c>
      <c r="D2" s="130" t="s">
        <v>228</v>
      </c>
    </row>
    <row r="3" spans="1:4" ht="14.4" x14ac:dyDescent="0.25">
      <c r="A3" s="77" t="s">
        <v>189</v>
      </c>
      <c r="B3" s="131">
        <v>1.0000000000000001E-15</v>
      </c>
      <c r="C3" s="90" t="s">
        <v>97</v>
      </c>
      <c r="D3" s="130" t="s">
        <v>227</v>
      </c>
    </row>
    <row r="4" spans="1:4" ht="14.4" x14ac:dyDescent="0.25">
      <c r="A4" s="77" t="s">
        <v>260</v>
      </c>
      <c r="B4" s="132" t="b">
        <v>1</v>
      </c>
      <c r="C4" s="90" t="s">
        <v>97</v>
      </c>
      <c r="D4" s="130" t="s">
        <v>261</v>
      </c>
    </row>
    <row r="5" spans="1:4" ht="28.8" x14ac:dyDescent="0.25">
      <c r="A5" s="77" t="s">
        <v>229</v>
      </c>
      <c r="B5" s="132" t="b">
        <v>1</v>
      </c>
      <c r="C5" s="90" t="s">
        <v>97</v>
      </c>
      <c r="D5" s="130" t="s">
        <v>266</v>
      </c>
    </row>
    <row r="6" spans="1:4" ht="28.8" x14ac:dyDescent="0.25">
      <c r="A6" s="77" t="s">
        <v>230</v>
      </c>
      <c r="B6" s="131">
        <v>1E-8</v>
      </c>
      <c r="C6" s="90" t="s">
        <v>97</v>
      </c>
      <c r="D6" s="130" t="s">
        <v>231</v>
      </c>
    </row>
    <row r="7" spans="1:4" ht="28.8" x14ac:dyDescent="0.25">
      <c r="A7" s="77" t="s">
        <v>215</v>
      </c>
      <c r="B7" s="135">
        <v>5.0000000000000001E-3</v>
      </c>
      <c r="C7" s="90" t="s">
        <v>109</v>
      </c>
      <c r="D7" s="130" t="s">
        <v>221</v>
      </c>
    </row>
    <row r="8" spans="1:4" ht="14.4" x14ac:dyDescent="0.25">
      <c r="A8" s="77" t="s">
        <v>216</v>
      </c>
      <c r="B8" s="132" t="s">
        <v>217</v>
      </c>
      <c r="C8" s="90" t="s">
        <v>97</v>
      </c>
      <c r="D8" s="130" t="s">
        <v>220</v>
      </c>
    </row>
    <row r="9" spans="1:4" ht="14.4" x14ac:dyDescent="0.25">
      <c r="A9" s="77" t="s">
        <v>218</v>
      </c>
      <c r="B9" s="132">
        <v>2</v>
      </c>
      <c r="C9" s="90" t="s">
        <v>97</v>
      </c>
      <c r="D9" s="130" t="s">
        <v>219</v>
      </c>
    </row>
    <row r="10" spans="1:4" ht="28.8" x14ac:dyDescent="0.25">
      <c r="A10" s="77" t="s">
        <v>232</v>
      </c>
      <c r="B10" s="132" t="b">
        <v>0</v>
      </c>
      <c r="C10" s="127" t="s">
        <v>97</v>
      </c>
      <c r="D10" s="144" t="s">
        <v>233</v>
      </c>
    </row>
    <row r="11" spans="1:4" ht="14.4" x14ac:dyDescent="0.25">
      <c r="A11" s="77" t="s">
        <v>263</v>
      </c>
      <c r="B11" s="132" t="b">
        <v>1</v>
      </c>
      <c r="C11" s="127" t="s">
        <v>97</v>
      </c>
      <c r="D11" s="144" t="s">
        <v>264</v>
      </c>
    </row>
    <row r="12" spans="1:4" ht="28.8" x14ac:dyDescent="0.25">
      <c r="A12" s="77" t="s">
        <v>262</v>
      </c>
      <c r="B12" s="132" t="s">
        <v>113</v>
      </c>
      <c r="C12" s="127" t="s">
        <v>97</v>
      </c>
      <c r="D12" s="144" t="s">
        <v>265</v>
      </c>
    </row>
  </sheetData>
  <conditionalFormatting sqref="A3:D4">
    <cfRule type="expression" dxfId="63" priority="2">
      <formula>$B$2=FALSE</formula>
    </cfRule>
  </conditionalFormatting>
  <conditionalFormatting sqref="A12:D12">
    <cfRule type="expression" dxfId="62" priority="1">
      <formula>$B$11=FALSE</formula>
    </cfRule>
  </conditionalFormatting>
  <dataValidations count="4">
    <dataValidation type="list" allowBlank="1" showInputMessage="1" showErrorMessage="1" sqref="B8" xr:uid="{A49C7C3F-F289-4E9E-93BF-BE4D6D78B296}">
      <formula1>"max, mean, norm"</formula1>
    </dataValidation>
    <dataValidation type="list" allowBlank="1" showInputMessage="1" showErrorMessage="1" sqref="B2 B10 B4 B5" xr:uid="{84E938EB-3DC7-476B-8ED7-970048E4677C}">
      <formula1>"TRUE, FALSE"</formula1>
    </dataValidation>
    <dataValidation type="list" allowBlank="1" showInputMessage="1" showErrorMessage="1" sqref="B11" xr:uid="{E03D1A38-E4CD-4F8A-8EC3-3AE9680BF385}">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5" t="s">
        <v>20</v>
      </c>
      <c r="E1" s="235" t="s">
        <v>235</v>
      </c>
      <c r="F1" s="69"/>
      <c r="G1" s="69"/>
      <c r="H1" s="69"/>
      <c r="I1" s="69"/>
      <c r="J1" s="69"/>
    </row>
    <row r="2" spans="1:10" x14ac:dyDescent="0.25">
      <c r="A2" s="77" t="s">
        <v>75</v>
      </c>
      <c r="B2" s="131">
        <v>5.0000000000000001E-4</v>
      </c>
      <c r="C2" s="90" t="s">
        <v>87</v>
      </c>
      <c r="D2" s="145" t="s">
        <v>20</v>
      </c>
      <c r="E2" s="235"/>
      <c r="F2" s="69"/>
      <c r="G2" s="69"/>
      <c r="H2" s="69"/>
      <c r="I2" s="69"/>
      <c r="J2" s="69"/>
    </row>
    <row r="3" spans="1:10" x14ac:dyDescent="0.25">
      <c r="A3" s="77" t="s">
        <v>80</v>
      </c>
      <c r="B3" s="131">
        <v>5.0000000000000001E-4</v>
      </c>
      <c r="C3" s="90" t="s">
        <v>87</v>
      </c>
      <c r="D3" s="145" t="s">
        <v>20</v>
      </c>
      <c r="E3" s="235"/>
      <c r="F3" s="69"/>
      <c r="G3" s="69"/>
      <c r="H3" s="69"/>
      <c r="I3" s="69"/>
      <c r="J3" s="69"/>
    </row>
    <row r="4" spans="1:10" x14ac:dyDescent="0.25">
      <c r="A4" s="77" t="s">
        <v>81</v>
      </c>
      <c r="B4" s="131">
        <v>1.9999999999999999E-6</v>
      </c>
      <c r="C4" s="90" t="s">
        <v>87</v>
      </c>
      <c r="D4" s="145" t="s">
        <v>90</v>
      </c>
      <c r="E4" s="235"/>
      <c r="F4" s="69"/>
      <c r="G4" s="69"/>
      <c r="H4" s="69"/>
      <c r="I4" s="69"/>
      <c r="J4" s="69"/>
    </row>
    <row r="5" spans="1:10" x14ac:dyDescent="0.25">
      <c r="A5" s="77" t="s">
        <v>82</v>
      </c>
      <c r="B5" s="131">
        <v>1E-3</v>
      </c>
      <c r="C5" s="90" t="s">
        <v>87</v>
      </c>
      <c r="D5" s="145" t="s">
        <v>90</v>
      </c>
      <c r="E5" s="235"/>
      <c r="F5" s="94"/>
      <c r="G5" s="69"/>
      <c r="H5" s="69"/>
      <c r="I5" s="69"/>
      <c r="J5" s="69"/>
    </row>
    <row r="6" spans="1:10" x14ac:dyDescent="0.25">
      <c r="A6" s="77" t="s">
        <v>83</v>
      </c>
      <c r="B6" s="131">
        <f>B1/2</f>
        <v>2.5000000000000001E-4</v>
      </c>
      <c r="C6" s="90" t="s">
        <v>87</v>
      </c>
      <c r="D6" s="145" t="s">
        <v>90</v>
      </c>
      <c r="E6" s="235"/>
      <c r="F6" s="94"/>
      <c r="G6" s="69"/>
      <c r="H6" s="69"/>
      <c r="I6" s="69"/>
      <c r="J6" s="69"/>
    </row>
    <row r="7" spans="1:10" x14ac:dyDescent="0.25">
      <c r="A7" s="77" t="s">
        <v>84</v>
      </c>
      <c r="B7" s="131">
        <f>B5</f>
        <v>1E-3</v>
      </c>
      <c r="C7" s="90" t="s">
        <v>87</v>
      </c>
      <c r="D7" s="145" t="s">
        <v>90</v>
      </c>
      <c r="E7" s="235"/>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2021-12-02T12:34:48Z</dcterms:modified>
  <cp:category/>
  <cp:contentStatus/>
</cp:coreProperties>
</file>