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standen\Google Drive\Uni\Master Thesis\version_GitHub\IbM_V2\"/>
    </mc:Choice>
  </mc:AlternateContent>
  <xr:revisionPtr revIDLastSave="0" documentId="13_ncr:1_{9A15BAA1-D885-46FE-A0D0-D39E820C079F}" xr6:coauthVersionLast="47" xr6:coauthVersionMax="47" xr10:uidLastSave="{00000000-0000-0000-0000-000000000000}"/>
  <bookViews>
    <workbookView xWindow="-22260" yWindow="3105" windowWidth="21600" windowHeight="11385" firstSheet="3" activeTab="6" xr2:uid="{00000000-000D-0000-FFFF-FFFF00000000}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calcPr calcId="181029"/>
</workbook>
</file>

<file path=xl/calcChain.xml><?xml version="1.0" encoding="utf-8"?>
<calcChain xmlns="http://schemas.openxmlformats.org/spreadsheetml/2006/main">
  <c r="B6" i="25" l="1"/>
  <c r="B7" i="25"/>
  <c r="B4" i="27"/>
  <c r="B3" i="27"/>
  <c r="B1" i="26"/>
  <c r="F2" i="13"/>
  <c r="E4" i="13"/>
  <c r="B7" i="28"/>
  <c r="B6" i="28"/>
  <c r="B5" i="28"/>
  <c r="B4" i="28"/>
  <c r="B3" i="28"/>
  <c r="B2" i="28"/>
  <c r="B1" i="28"/>
  <c r="C4" i="13"/>
  <c r="B5" i="13"/>
  <c r="G5" i="13" l="1"/>
  <c r="C5" i="13"/>
  <c r="E3" i="13"/>
  <c r="D4" i="13" l="1"/>
  <c r="D3" i="13"/>
  <c r="C3" i="13"/>
  <c r="D2" i="13"/>
  <c r="B2" i="13"/>
  <c r="B1" i="23"/>
  <c r="B8" i="27"/>
  <c r="B13" i="27"/>
  <c r="B7" i="27"/>
  <c r="B6" i="27"/>
  <c r="B5" i="27"/>
  <c r="B8" i="25"/>
  <c r="B4" i="25"/>
  <c r="B3" i="25"/>
  <c r="B1" i="25" s="1"/>
  <c r="B2" i="25" s="1"/>
  <c r="B11" i="25" l="1"/>
  <c r="B10" i="25"/>
  <c r="B4" i="23" l="1"/>
  <c r="H5" i="13" l="1"/>
  <c r="H2" i="13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0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tc={A5FD0316-6FB5-49EC-9084-2B1D092A0C81}</author>
    <author>tc={616E7428-01EA-4640-87E5-37E469DCE046}</author>
    <author>tc={08155F9D-5E43-4930-9BF6-BC326C84DF2B}</author>
    <author>tc={08155F9D-5E43-4931-9BF6-BC326C84DF2B}</author>
    <author>tc={78AF121E-E020-422C-9F13-3C10689DC802}</author>
    <author>tc={90D99321-A265-4E5A-BD70-A3CBE7B195D3}</author>
  </authors>
  <commentList>
    <comment ref="H1" authorId="0" shapeId="0" xr:uid="{00000000-0006-0000-0100-000001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  </r>
      </text>
    </comment>
    <comment ref="F2" authorId="1" shapeId="0" xr:uid="{00000000-0006-0000-0100-000002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  </r>
      </text>
    </comment>
    <comment ref="E3" authorId="2" shapeId="0" xr:uid="{00000000-0006-0000-0100-000003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  </r>
      </text>
    </comment>
    <comment ref="E4" authorId="3" shapeId="0" xr:uid="{00000000-0006-0000-0100-000004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  </r>
      </text>
    </comment>
    <comment ref="A5" authorId="4" shapeId="0" xr:uid="{00000000-0006-0000-0100-000005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  </r>
      </text>
    </comment>
    <comment ref="H5" authorId="5" shapeId="0" xr:uid="{00000000-0006-0000-0100-000006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  </r>
      </text>
    </comment>
  </commentList>
</comments>
</file>

<file path=xl/sharedStrings.xml><?xml version="1.0" encoding="utf-8"?>
<sst xmlns="http://schemas.openxmlformats.org/spreadsheetml/2006/main" count="438" uniqueCount="161">
  <si>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</si>
  <si>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</si>
  <si>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</si>
  <si>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</si>
  <si>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</si>
  <si>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</si>
  <si>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</si>
  <si>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</si>
  <si>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</si>
  <si>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</si>
  <si>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</si>
  <si>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</si>
  <si>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</si>
  <si>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</si>
  <si>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</si>
  <si>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</si>
  <si>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</si>
  <si>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</si>
  <si>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</si>
  <si>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</si>
  <si>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</si>
  <si>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</si>
  <si>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</si>
  <si>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</si>
  <si>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</si>
  <si>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</si>
  <si>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</si>
  <si>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</si>
  <si>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</si>
  <si>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</si>
  <si>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</si>
  <si>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</si>
  <si>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</si>
  <si>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</si>
  <si>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</si>
  <si>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</si>
  <si>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</si>
  <si>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</si>
  <si>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</si>
  <si>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</si>
  <si>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</si>
  <si>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</si>
  <si>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</si>
  <si>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</si>
  <si>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</si>
  <si>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</si>
  <si>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</si>
  <si>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</si>
  <si>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</si>
  <si>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</si>
  <si>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</si>
  <si>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</si>
  <si>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</si>
  <si>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</si>
  <si>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</si>
  <si>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</si>
  <si>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</si>
  <si>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</si>
  <si>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</si>
  <si>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</si>
  <si>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</si>
  <si>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</si>
  <si>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</si>
  <si>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</si>
  <si>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</si>
  <si>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</si>
  <si>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</si>
  <si>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</si>
  <si>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</si>
  <si>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</si>
  <si>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</si>
  <si>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</si>
  <si>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</si>
  <si>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</si>
  <si>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</si>
  <si>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</si>
  <si>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Ki_HNO2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</si>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</sst>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49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46" xfId="0" applyNumberFormat="1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5-06T15:55:10.24" personId="{5CC223E8-22CF-48C3-ABCE-0A00391E726E}" id="{A5FD0316-6FB5-49EC-9084-2B1D092A0C81}">
    <text>AOB and NOB: calculated [Rebeca]</text>
  </threadedComment>
  <threadedComment ref="F2" dT="2021-05-05T18:59:54.11" personId="{5CC223E8-22CF-48C3-ABCE-0A00391E726E}" id="{616E7428-01EA-4640-87E5-37E469DCE046}">
    <text>FNA (HNO2) [Jubany2008]</text>
  </threadedComment>
  <threadedComment ref="E3" dT="2021-05-05T19:00:22.50" personId="{5CC223E8-22CF-48C3-ABCE-0A00391E726E}" id="{08155F9D-5E43-4930-9BF6-BC326C84DF2B}">
    <text>FA (NH3) [Kim2008, Blackburne2007a]</text>
  </threadedComment>
  <threadedComment ref="E4" dT="2021-05-05T19:00:22.50" personId="{5CC223E8-22CF-48C3-ABCE-0A00391E726E}" id="{08155F9D-5E43-4931-9BF6-BC326C84DF2B}">
    <text>FA (NH3) [Kim2008, Blackburne2007a]</text>
  </threadedComment>
  <threadedComment ref="A5" dT="2021-05-06T14:34:17.37" personId="{5CC223E8-22CF-48C3-ABCE-0A00391E726E}" id="{78AF121E-E020-422C-9F13-3C10689DC802}">
    <text>From [Straka2019]</text>
  </threadedComment>
  <threadedComment ref="A5" dT="2021-05-06T16:34:54.75" personId="{5CC223E8-22CF-48C3-ABCE-0A00391E726E}" id="{2E622240-3409-45C0-8BF9-A44064235D3E}" parentId="{78AF121E-E020-422C-9F13-3C10689DC802}">
    <text>Assume NH3 and HNO2 uptake</text>
  </threadedComment>
  <threadedComment ref="H5" dT="2021-05-06T16:02:09.77" personId="{5CC223E8-22CF-48C3-ABCE-0A00391E726E}" id="{90D99321-A265-4E5A-BD70-A3CBE7B195D3}">
    <text>From [Strous1998]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Q1" zoomScale="70" zoomScaleNormal="70" zoomScalePageLayoutView="125" workbookViewId="0">
      <selection activeCell="AH14" sqref="AH14"/>
    </sheetView>
  </sheetViews>
  <sheetFormatPr defaultColWidth="8.85546875" defaultRowHeight="15" x14ac:dyDescent="0.25"/>
  <cols>
    <col min="1" max="1" width="2.5703125" style="1" customWidth="1"/>
    <col min="2" max="2" width="46.85546875" style="1" customWidth="1"/>
    <col min="3" max="3" width="24.425781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570312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5703125" style="1" customWidth="1"/>
    <col min="18" max="18" width="7.42578125" style="1" customWidth="1"/>
    <col min="19" max="20" width="12.85546875" style="1" customWidth="1"/>
    <col min="21" max="21" width="15.5703125" style="1" customWidth="1"/>
    <col min="22" max="22" width="11.5703125" style="1" customWidth="1"/>
    <col min="23" max="24" width="12.42578125" style="1" customWidth="1"/>
    <col min="25" max="25" width="15.42578125" style="1" customWidth="1"/>
    <col min="26" max="26" width="11.42578125" style="1" customWidth="1"/>
    <col min="27" max="28" width="12.5703125" style="1" customWidth="1"/>
    <col min="29" max="29" width="15.5703125" style="1" customWidth="1"/>
    <col min="30" max="30" width="12.42578125" style="1" customWidth="1"/>
    <col min="31" max="32" width="12.5703125" style="1" customWidth="1"/>
    <col min="33" max="33" width="15.5703125" style="1" customWidth="1"/>
    <col min="34" max="34" width="12.425781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36" t="s">
        <v>0</v>
      </c>
      <c r="T2" s="236"/>
      <c r="U2" s="236"/>
      <c r="V2" s="236"/>
      <c r="W2" s="236" t="s">
        <v>1</v>
      </c>
      <c r="X2" s="236"/>
      <c r="Y2" s="236"/>
      <c r="Z2" s="236"/>
      <c r="AA2" s="236" t="s">
        <v>2</v>
      </c>
      <c r="AB2" s="236"/>
      <c r="AC2" s="236"/>
      <c r="AD2" s="236"/>
      <c r="AE2" s="236" t="s">
        <v>3</v>
      </c>
      <c r="AF2" s="236"/>
      <c r="AG2" s="236"/>
      <c r="AH2" s="236"/>
      <c r="AK2" s="3" t="s">
        <v>4</v>
      </c>
      <c r="AL2" s="4" t="s">
        <v>5</v>
      </c>
      <c r="AM2" s="4" t="s">
        <v>6</v>
      </c>
      <c r="AN2" s="5" t="s">
        <v>7</v>
      </c>
    </row>
    <row r="3" spans="2:40" ht="20.25" x14ac:dyDescent="0.35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9" t="s">
        <v>28</v>
      </c>
      <c r="AJ3" s="171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20.25" x14ac:dyDescent="0.35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1"/>
      <c r="AK4" s="18"/>
      <c r="AL4" s="19"/>
      <c r="AM4" s="19"/>
      <c r="AN4" s="19"/>
    </row>
    <row r="5" spans="2:40" ht="19.5" x14ac:dyDescent="0.35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70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20.25" x14ac:dyDescent="0.35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70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20.25" x14ac:dyDescent="0.35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70"/>
      <c r="AK7" s="27"/>
      <c r="AL7" s="27"/>
      <c r="AM7" s="27"/>
      <c r="AN7" s="27"/>
    </row>
    <row r="8" spans="2:40" ht="19.5" x14ac:dyDescent="0.35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70"/>
    </row>
    <row r="9" spans="2:40" ht="20.25" x14ac:dyDescent="0.35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70"/>
    </row>
    <row r="10" spans="2:40" ht="19.5" x14ac:dyDescent="0.35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70"/>
    </row>
    <row r="11" spans="2:40" ht="19.5" x14ac:dyDescent="0.35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70"/>
    </row>
    <row r="12" spans="2:40" ht="19.5" x14ac:dyDescent="0.35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70"/>
    </row>
    <row r="13" spans="2:40" ht="21.75" x14ac:dyDescent="0.35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70"/>
    </row>
    <row r="14" spans="2:40" ht="18.75" x14ac:dyDescent="0.25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70"/>
    </row>
    <row r="15" spans="2:40" ht="18.75" x14ac:dyDescent="0.25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70"/>
    </row>
    <row r="16" spans="2:40" ht="21" thickBot="1" x14ac:dyDescent="0.4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70"/>
    </row>
    <row r="17" spans="2:36" ht="15.75" x14ac:dyDescent="0.25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37" t="s">
        <v>54</v>
      </c>
      <c r="K17" s="240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75" x14ac:dyDescent="0.25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38"/>
      <c r="K18" s="241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75" x14ac:dyDescent="0.25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38"/>
      <c r="K19" s="241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75" x14ac:dyDescent="0.25">
      <c r="B20" s="58"/>
      <c r="C20" s="58"/>
      <c r="D20" s="19"/>
      <c r="E20" s="19"/>
      <c r="F20" s="36"/>
      <c r="J20" s="238"/>
      <c r="K20" s="241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75" x14ac:dyDescent="0.25">
      <c r="B21" s="58"/>
      <c r="C21" s="58"/>
      <c r="D21" s="19"/>
      <c r="E21" s="19"/>
      <c r="F21" s="19"/>
      <c r="G21" s="59"/>
      <c r="J21" s="238"/>
      <c r="K21" s="241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75" x14ac:dyDescent="0.25">
      <c r="B22" s="58"/>
      <c r="C22" s="58"/>
      <c r="D22" s="19"/>
      <c r="E22" s="19"/>
      <c r="F22" s="19"/>
      <c r="G22" s="59"/>
      <c r="J22" s="238"/>
      <c r="K22" s="241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75" x14ac:dyDescent="0.25">
      <c r="B23" s="58"/>
      <c r="C23" s="58"/>
      <c r="D23" s="19"/>
      <c r="E23" s="19"/>
      <c r="F23" s="19"/>
      <c r="G23" s="59"/>
      <c r="J23" s="238"/>
      <c r="K23" s="241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75" x14ac:dyDescent="0.25">
      <c r="B24" s="58"/>
      <c r="C24" s="58"/>
      <c r="D24" s="19"/>
      <c r="E24" s="19"/>
      <c r="F24" s="19"/>
      <c r="G24" s="59"/>
      <c r="J24" s="238"/>
      <c r="K24" s="241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75" x14ac:dyDescent="0.25">
      <c r="B25" s="58"/>
      <c r="C25" s="58"/>
      <c r="D25" s="19"/>
      <c r="E25" s="19"/>
      <c r="F25" s="19"/>
      <c r="G25" s="59"/>
      <c r="J25" s="238"/>
      <c r="K25" s="241"/>
    </row>
    <row r="26" spans="2:36" ht="18" x14ac:dyDescent="0.25">
      <c r="B26" s="58"/>
      <c r="C26" s="58"/>
      <c r="D26" s="19"/>
      <c r="E26" s="19"/>
      <c r="F26" s="19"/>
      <c r="G26" s="59"/>
      <c r="J26" s="238"/>
      <c r="K26" s="241"/>
      <c r="N26" s="243" t="s">
        <v>64</v>
      </c>
      <c r="O26" s="244"/>
      <c r="P26" s="244"/>
      <c r="Q26" s="245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25">
      <c r="B27" s="58"/>
      <c r="C27" s="58"/>
      <c r="D27" s="19"/>
      <c r="E27" s="19"/>
      <c r="F27" s="19"/>
      <c r="G27" s="59"/>
      <c r="J27" s="238"/>
      <c r="K27" s="241"/>
      <c r="N27" s="243" t="s">
        <v>66</v>
      </c>
      <c r="O27" s="244"/>
      <c r="P27" s="244"/>
      <c r="Q27" s="245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75" x14ac:dyDescent="0.25">
      <c r="B28" s="58"/>
      <c r="C28" s="58"/>
      <c r="D28" s="19"/>
      <c r="E28" s="19"/>
      <c r="F28" s="19"/>
      <c r="G28" s="59"/>
      <c r="J28" s="238"/>
      <c r="K28" s="241"/>
      <c r="O28" s="27"/>
      <c r="P28" s="27"/>
      <c r="Q28" s="27"/>
    </row>
    <row r="29" spans="2:36" ht="15.75" x14ac:dyDescent="0.25">
      <c r="B29" s="58"/>
      <c r="C29" s="58"/>
      <c r="D29" s="19"/>
      <c r="E29" s="19"/>
      <c r="F29" s="19"/>
      <c r="G29" s="59"/>
      <c r="J29" s="238"/>
      <c r="K29" s="241"/>
    </row>
    <row r="30" spans="2:36" x14ac:dyDescent="0.25">
      <c r="J30" s="238"/>
      <c r="K30" s="241"/>
    </row>
    <row r="31" spans="2:36" x14ac:dyDescent="0.25">
      <c r="J31" s="238"/>
      <c r="K31" s="241"/>
    </row>
    <row r="32" spans="2:36" x14ac:dyDescent="0.25">
      <c r="J32" s="238"/>
      <c r="K32" s="241"/>
    </row>
    <row r="33" spans="10:26" ht="15.75" thickBot="1" x14ac:dyDescent="0.3">
      <c r="J33" s="239"/>
      <c r="K33" s="242"/>
    </row>
    <row r="34" spans="10:26" x14ac:dyDescent="0.25">
      <c r="U34" s="165"/>
      <c r="V34" s="75">
        <v>10</v>
      </c>
      <c r="W34" s="75">
        <v>20</v>
      </c>
      <c r="X34" s="76">
        <v>30</v>
      </c>
      <c r="Y34"/>
      <c r="Z34"/>
    </row>
    <row r="35" spans="10:26" x14ac:dyDescent="0.25">
      <c r="U35" s="166" t="s">
        <v>68</v>
      </c>
      <c r="V35" s="161">
        <f>(1.28*10^(12))*EXP(-8183/(273+V34))/(1+((2.05*10^(-9))/(10^(-7.5)))+((10^(-7.5))/(1.66*10^(-7))))</f>
        <v>0.2823217413975958</v>
      </c>
      <c r="W35" s="161">
        <f t="shared" ref="W35:X35" si="28">(1.28*10^(12))*EXP(-8183/(273+W34))/(1+((2.05*10^(-9))/(10^(-7.5)))+((10^(-7.5))/(1.66*10^(-7))))</f>
        <v>0.75741706690483923</v>
      </c>
      <c r="X35" s="162">
        <f t="shared" si="28"/>
        <v>1.9038644750378029</v>
      </c>
      <c r="Y35"/>
      <c r="Z35"/>
    </row>
    <row r="36" spans="10:26" x14ac:dyDescent="0.25">
      <c r="U36" s="167" t="s">
        <v>69</v>
      </c>
      <c r="V36" s="163">
        <f>(6.69*10^(7))*EXP(-5295/(273+V34))/(1+((2.05*10^(-9))/(10^(-7.5)))+((10^(-7.5))/(1.66*10^(-7))))</f>
        <v>0.39894464591466677</v>
      </c>
      <c r="W36" s="163">
        <f t="shared" ref="W36:X36" si="29">(6.69*10^(7))*EXP(-5295/(273+W34))/(1+((2.05*10^(-9))/(10^(-7.5)))+((10^(-7.5))/(1.66*10^(-7))))</f>
        <v>0.75551351479496387</v>
      </c>
      <c r="X36" s="164">
        <f t="shared" si="29"/>
        <v>1.3717224615090331</v>
      </c>
      <c r="Y36"/>
      <c r="Z36"/>
    </row>
    <row r="37" spans="10:26" x14ac:dyDescent="0.25">
      <c r="U37" s="166" t="s">
        <v>70</v>
      </c>
      <c r="V37" s="161">
        <f>(1.651*10^(11))*EXP(-8183/(273+V34))</f>
        <v>4.5712789685116106E-2</v>
      </c>
      <c r="W37" s="161">
        <f t="shared" ref="W37:X37" si="30">(1.651*10^(11))*EXP(-8183/(273+W34))</f>
        <v>0.12263896826343848</v>
      </c>
      <c r="X37" s="162">
        <f t="shared" si="30"/>
        <v>0.30826870047461469</v>
      </c>
      <c r="Y37"/>
      <c r="Z37"/>
    </row>
    <row r="38" spans="10:26" ht="15.75" thickBot="1" x14ac:dyDescent="0.3">
      <c r="U38" s="168" t="s">
        <v>71</v>
      </c>
      <c r="V38" s="77">
        <f>(8.626*10^(6))*EXP(-5295/(273+V34))</f>
        <v>6.4573194919367791E-2</v>
      </c>
      <c r="W38" s="77">
        <f t="shared" ref="W38" si="31">(8.626*10^(6))*EXP(-5295/(273+W34))</f>
        <v>0.12228744502440833</v>
      </c>
      <c r="X38" s="78">
        <f>(8.626*10^(6))*EXP(-5295/(273+X34))</f>
        <v>0.22202704758505282</v>
      </c>
      <c r="Y38"/>
      <c r="Z38"/>
    </row>
    <row r="39" spans="10:26" x14ac:dyDescent="0.25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40625" defaultRowHeight="12.75" x14ac:dyDescent="0.2"/>
  <cols>
    <col min="1" max="1" width="9.140625" style="62"/>
    <col min="2" max="2" width="12" style="62" bestFit="1" customWidth="1"/>
    <col min="3" max="4" width="9.140625" style="62"/>
    <col min="5" max="5" width="12.42578125" style="62" bestFit="1" customWidth="1"/>
    <col min="6" max="6" width="9.140625" style="62"/>
    <col min="7" max="7" width="11.42578125" style="62" bestFit="1" customWidth="1"/>
    <col min="8" max="16384" width="9.140625" style="62"/>
  </cols>
  <sheetData>
    <row r="1" spans="1:3" x14ac:dyDescent="0.2">
      <c r="A1" s="158" t="s">
        <v>143</v>
      </c>
      <c r="B1" s="232">
        <f>1.957*10^(-9)*3600*0.7</f>
        <v>4.9316400000000006E-6</v>
      </c>
      <c r="C1" s="178" t="s">
        <v>144</v>
      </c>
    </row>
    <row r="2" spans="1:3" x14ac:dyDescent="0.2">
      <c r="A2" s="124" t="s">
        <v>145</v>
      </c>
      <c r="B2" s="181">
        <f>1.912*10^(-9)*3600*0.7</f>
        <v>4.8182400000000001E-6</v>
      </c>
      <c r="C2" s="177" t="s">
        <v>144</v>
      </c>
    </row>
    <row r="3" spans="1:3" x14ac:dyDescent="0.2">
      <c r="A3" s="124" t="s">
        <v>146</v>
      </c>
      <c r="B3" s="181">
        <f>1.902*10^(-9)*3600*0.7</f>
        <v>4.7930399999999991E-6</v>
      </c>
      <c r="C3" s="177" t="s">
        <v>144</v>
      </c>
    </row>
    <row r="4" spans="1:3" x14ac:dyDescent="0.2">
      <c r="A4" s="124" t="s">
        <v>147</v>
      </c>
      <c r="B4" s="181">
        <f>2.1*10^(-9)*3600*0.7</f>
        <v>5.2920000000000003E-6</v>
      </c>
      <c r="C4" s="177" t="s">
        <v>144</v>
      </c>
    </row>
    <row r="5" spans="1:3" x14ac:dyDescent="0.2">
      <c r="A5" s="124" t="s">
        <v>148</v>
      </c>
      <c r="B5" s="181">
        <f>1.92*10^(-9)*3600*0.7</f>
        <v>4.8384000000000001E-6</v>
      </c>
      <c r="C5" s="177" t="s">
        <v>144</v>
      </c>
    </row>
    <row r="6" spans="1:3" x14ac:dyDescent="0.2">
      <c r="A6" s="124" t="s">
        <v>149</v>
      </c>
      <c r="B6" s="181">
        <f>1.385*10^(-9)*3600*0.7</f>
        <v>3.4902000000000001E-6</v>
      </c>
      <c r="C6" s="177" t="s">
        <v>144</v>
      </c>
    </row>
    <row r="7" spans="1:3" ht="13.5" thickBot="1" x14ac:dyDescent="0.25">
      <c r="A7" s="139" t="s">
        <v>150</v>
      </c>
      <c r="B7" s="179">
        <f>1.334*10^(-9)*3600*0.7</f>
        <v>3.3616800000000002E-6</v>
      </c>
      <c r="C7" s="180" t="s">
        <v>144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1" sqref="D11"/>
    </sheetView>
  </sheetViews>
  <sheetFormatPr defaultColWidth="11.42578125" defaultRowHeight="12.75" x14ac:dyDescent="0.2"/>
  <sheetData>
    <row r="1" spans="1:3" x14ac:dyDescent="0.2">
      <c r="A1" s="182" t="s">
        <v>151</v>
      </c>
      <c r="B1" s="233">
        <v>9.9999999999999995E-7</v>
      </c>
      <c r="C1" s="155" t="s">
        <v>152</v>
      </c>
    </row>
    <row r="2" spans="1:3" x14ac:dyDescent="0.2">
      <c r="A2" s="183" t="s">
        <v>153</v>
      </c>
      <c r="B2" s="222">
        <v>0.5</v>
      </c>
      <c r="C2" s="157" t="s">
        <v>154</v>
      </c>
    </row>
    <row r="3" spans="1:3" x14ac:dyDescent="0.2">
      <c r="A3" s="183" t="s">
        <v>155</v>
      </c>
      <c r="B3" s="222">
        <v>0.5</v>
      </c>
      <c r="C3" s="157" t="s">
        <v>154</v>
      </c>
    </row>
    <row r="4" spans="1:3" x14ac:dyDescent="0.2">
      <c r="A4" s="183" t="s">
        <v>156</v>
      </c>
      <c r="B4" s="222">
        <v>0.5</v>
      </c>
      <c r="C4" s="157" t="s">
        <v>154</v>
      </c>
    </row>
    <row r="5" spans="1:3" x14ac:dyDescent="0.2">
      <c r="A5" s="183" t="s">
        <v>157</v>
      </c>
      <c r="B5" s="222">
        <v>0.5</v>
      </c>
      <c r="C5" s="157" t="s">
        <v>154</v>
      </c>
    </row>
    <row r="6" spans="1:3" x14ac:dyDescent="0.2">
      <c r="A6" s="183" t="s">
        <v>158</v>
      </c>
      <c r="B6" s="222">
        <v>0.5</v>
      </c>
      <c r="C6" s="157" t="s">
        <v>154</v>
      </c>
    </row>
    <row r="7" spans="1:3" x14ac:dyDescent="0.2">
      <c r="A7" s="183" t="s">
        <v>159</v>
      </c>
      <c r="B7" s="222">
        <v>0.5</v>
      </c>
      <c r="C7" s="157" t="s">
        <v>154</v>
      </c>
    </row>
    <row r="8" spans="1:3" ht="13.5" thickBot="1" x14ac:dyDescent="0.25">
      <c r="A8" s="184" t="s">
        <v>160</v>
      </c>
      <c r="B8" s="234">
        <v>0.5</v>
      </c>
      <c r="C8" s="17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E4" sqref="E4"/>
    </sheetView>
  </sheetViews>
  <sheetFormatPr defaultColWidth="11.42578125" defaultRowHeight="12.75" x14ac:dyDescent="0.2"/>
  <cols>
    <col min="1" max="1" width="8.5703125" style="70" customWidth="1"/>
    <col min="2" max="5" width="12" style="74" customWidth="1"/>
    <col min="6" max="16384" width="11.42578125" style="70"/>
  </cols>
  <sheetData>
    <row r="1" spans="1:11" x14ac:dyDescent="0.2"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2" t="s">
        <v>13</v>
      </c>
      <c r="I1" s="73" t="s">
        <v>78</v>
      </c>
    </row>
    <row r="2" spans="1:11" x14ac:dyDescent="0.2">
      <c r="A2" s="207" t="s">
        <v>79</v>
      </c>
      <c r="B2" s="217">
        <f>0.0247*(1/17)*(1/1000)</f>
        <v>1.4529411764705884E-6</v>
      </c>
      <c r="C2" s="217">
        <v>0</v>
      </c>
      <c r="D2" s="217">
        <f>0.115*(1/32)*(1/1000)</f>
        <v>3.5937500000000001E-6</v>
      </c>
      <c r="E2" s="217">
        <v>0</v>
      </c>
      <c r="F2" s="217">
        <f>0.55*(1/47)*(1/1000)</f>
        <v>1.1702127659574469E-5</v>
      </c>
      <c r="G2" s="217">
        <v>0</v>
      </c>
      <c r="H2" s="217">
        <f>0.0415</f>
        <v>4.1500000000000002E-2</v>
      </c>
      <c r="I2" s="216" t="s">
        <v>80</v>
      </c>
    </row>
    <row r="3" spans="1:11" x14ac:dyDescent="0.2">
      <c r="A3" s="207" t="s">
        <v>81</v>
      </c>
      <c r="B3" s="217">
        <v>0</v>
      </c>
      <c r="C3" s="217">
        <f>2.09*10^(-4)*(1/47)*(1/1000)</f>
        <v>4.4468085106382973E-9</v>
      </c>
      <c r="D3" s="217">
        <f>0.25*(1/32)*(1/1000)</f>
        <v>7.8125000000000002E-6</v>
      </c>
      <c r="E3" s="217">
        <f>21.3*(1/14)*(1/1000)</f>
        <v>1.5214285714285714E-3</v>
      </c>
      <c r="F3" s="217">
        <v>0</v>
      </c>
      <c r="G3" s="217">
        <v>0</v>
      </c>
      <c r="H3" s="217">
        <v>2.07E-2</v>
      </c>
      <c r="I3" s="216" t="s">
        <v>82</v>
      </c>
    </row>
    <row r="4" spans="1:11" x14ac:dyDescent="0.2">
      <c r="A4" s="207" t="s">
        <v>83</v>
      </c>
      <c r="B4" s="217">
        <v>0</v>
      </c>
      <c r="C4" s="217">
        <f>4.18*10^(-6)*(1/47)*(1/1000)</f>
        <v>8.8936170212765954E-11</v>
      </c>
      <c r="D4" s="217">
        <f>0.083*(1/32)*(1/1000)</f>
        <v>2.5937500000000004E-6</v>
      </c>
      <c r="E4" s="217">
        <f>1.82*(1/14)*(1/1000)</f>
        <v>1.3000000000000002E-4</v>
      </c>
      <c r="F4" s="217">
        <v>0</v>
      </c>
      <c r="G4" s="217">
        <v>0</v>
      </c>
      <c r="H4" s="217">
        <v>2.07E-2</v>
      </c>
      <c r="I4" s="216" t="s">
        <v>82</v>
      </c>
    </row>
    <row r="5" spans="1:11" x14ac:dyDescent="0.2">
      <c r="A5" s="207" t="s">
        <v>84</v>
      </c>
      <c r="B5" s="217">
        <f>0.007*(1/17)*(1/1000)</f>
        <v>4.1176470588235295E-7</v>
      </c>
      <c r="C5" s="217">
        <f>7.67*10^(-7)*(1/47)*(1/1000)</f>
        <v>1.6319148936170212E-11</v>
      </c>
      <c r="D5" s="217">
        <v>0</v>
      </c>
      <c r="E5" s="217">
        <v>0</v>
      </c>
      <c r="F5" s="217">
        <v>0</v>
      </c>
      <c r="G5" s="217">
        <f>0.01*(1/32)*(1/1000)</f>
        <v>3.1250000000000003E-7</v>
      </c>
      <c r="H5" s="217">
        <f>0.066</f>
        <v>6.6000000000000003E-2</v>
      </c>
      <c r="I5" s="216" t="s">
        <v>80</v>
      </c>
    </row>
    <row r="7" spans="1:11" x14ac:dyDescent="0.2">
      <c r="A7" s="89"/>
      <c r="B7" s="89"/>
      <c r="C7" s="89"/>
      <c r="D7" s="89"/>
      <c r="E7" s="89"/>
      <c r="F7" s="89"/>
      <c r="G7" s="89"/>
      <c r="H7" s="89"/>
      <c r="I7" s="89"/>
      <c r="K7" s="89"/>
    </row>
    <row r="8" spans="1:11" x14ac:dyDescent="0.2">
      <c r="A8" s="89"/>
      <c r="B8" s="89"/>
      <c r="C8" s="89"/>
      <c r="D8" s="89"/>
      <c r="E8" s="89"/>
      <c r="F8" s="89"/>
      <c r="G8" s="89"/>
      <c r="H8" s="89"/>
      <c r="I8" s="89"/>
    </row>
    <row r="9" spans="1:11" x14ac:dyDescent="0.2">
      <c r="A9"/>
      <c r="B9" s="89"/>
      <c r="C9" s="89"/>
      <c r="D9" s="89"/>
      <c r="E9" s="89"/>
      <c r="F9" s="89"/>
      <c r="G9" s="89"/>
      <c r="H9" s="89"/>
      <c r="I9" s="89"/>
    </row>
    <row r="10" spans="1:11" x14ac:dyDescent="0.2">
      <c r="A10" s="89"/>
      <c r="B10" s="89"/>
      <c r="C10" s="89"/>
      <c r="D10" s="89"/>
      <c r="E10" s="89"/>
      <c r="F10" s="89"/>
      <c r="G10" s="89"/>
      <c r="H10" s="89"/>
      <c r="I10" s="89"/>
    </row>
    <row r="11" spans="1:11" x14ac:dyDescent="0.2">
      <c r="A11" s="89"/>
      <c r="B11" s="89"/>
      <c r="C11" s="89"/>
      <c r="D11" s="89"/>
      <c r="E11" s="89"/>
      <c r="F11" s="89"/>
      <c r="G11" s="89"/>
      <c r="H11" s="89"/>
      <c r="I11" s="89"/>
    </row>
    <row r="12" spans="1:11" x14ac:dyDescent="0.2">
      <c r="A12" s="89"/>
      <c r="B12" s="89"/>
      <c r="C12" s="89"/>
      <c r="D12" s="89"/>
      <c r="E12" s="89"/>
      <c r="F12" s="89"/>
      <c r="G12" s="89"/>
      <c r="H12" s="89"/>
      <c r="I12" s="8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2578125" defaultRowHeight="12.75" x14ac:dyDescent="0.2"/>
  <cols>
    <col min="1" max="1" width="8.42578125" style="62" customWidth="1"/>
    <col min="2" max="2" width="13.5703125" style="62" customWidth="1"/>
    <col min="3" max="3" width="13" style="62" customWidth="1"/>
    <col min="4" max="4" width="13.5703125" style="62" customWidth="1"/>
    <col min="5" max="5" width="14.5703125" style="62" customWidth="1"/>
    <col min="6" max="6" width="14" style="62" customWidth="1"/>
    <col min="7" max="7" width="16.85546875" style="62" customWidth="1"/>
    <col min="8" max="8" width="13" style="62" customWidth="1"/>
    <col min="9" max="9" width="14.5703125" style="62" customWidth="1"/>
    <col min="10" max="16384" width="11.42578125" style="62"/>
  </cols>
  <sheetData>
    <row r="1" spans="1:13" x14ac:dyDescent="0.2">
      <c r="A1" s="89"/>
      <c r="B1" s="246" t="s">
        <v>79</v>
      </c>
      <c r="C1" s="247"/>
      <c r="D1" s="248"/>
      <c r="E1" s="246" t="s">
        <v>81</v>
      </c>
      <c r="F1" s="247"/>
      <c r="G1" s="248"/>
      <c r="H1" s="246" t="s">
        <v>83</v>
      </c>
      <c r="I1" s="247"/>
      <c r="J1" s="248"/>
      <c r="K1" s="247" t="s">
        <v>84</v>
      </c>
      <c r="L1" s="247"/>
      <c r="M1" s="248"/>
    </row>
    <row r="2" spans="1:13" x14ac:dyDescent="0.2">
      <c r="A2" s="89"/>
      <c r="B2" s="63" t="s">
        <v>85</v>
      </c>
      <c r="C2" s="64" t="s">
        <v>86</v>
      </c>
      <c r="D2" s="65" t="s">
        <v>87</v>
      </c>
      <c r="E2" s="63" t="s">
        <v>85</v>
      </c>
      <c r="F2" s="64" t="s">
        <v>86</v>
      </c>
      <c r="G2" s="65" t="s">
        <v>87</v>
      </c>
      <c r="H2" s="63" t="s">
        <v>85</v>
      </c>
      <c r="I2" s="64" t="s">
        <v>86</v>
      </c>
      <c r="J2" s="65" t="s">
        <v>87</v>
      </c>
      <c r="K2" s="64" t="s">
        <v>85</v>
      </c>
      <c r="L2" s="64" t="s">
        <v>86</v>
      </c>
      <c r="M2" s="65" t="s">
        <v>87</v>
      </c>
    </row>
    <row r="3" spans="1:13" x14ac:dyDescent="0.2">
      <c r="A3" s="79" t="s">
        <v>80</v>
      </c>
      <c r="B3" s="191">
        <v>-1</v>
      </c>
      <c r="C3" s="192">
        <v>-0.90000000000000013</v>
      </c>
      <c r="D3" s="193">
        <v>0</v>
      </c>
      <c r="E3" s="191">
        <v>0</v>
      </c>
      <c r="F3" s="192">
        <v>0</v>
      </c>
      <c r="G3" s="193">
        <v>0</v>
      </c>
      <c r="H3" s="191">
        <v>0</v>
      </c>
      <c r="I3" s="192">
        <v>0</v>
      </c>
      <c r="J3" s="193">
        <v>0</v>
      </c>
      <c r="K3" s="199">
        <v>-1</v>
      </c>
      <c r="L3" s="192">
        <v>-0.2</v>
      </c>
      <c r="M3" s="193">
        <v>0</v>
      </c>
    </row>
    <row r="4" spans="1:13" x14ac:dyDescent="0.2">
      <c r="A4" s="82" t="s">
        <v>82</v>
      </c>
      <c r="B4" s="194">
        <v>1</v>
      </c>
      <c r="C4" s="192">
        <v>0.70000000000000007</v>
      </c>
      <c r="D4" s="195">
        <v>0</v>
      </c>
      <c r="E4" s="194">
        <v>-1</v>
      </c>
      <c r="F4" s="192">
        <v>-2.9000000000000004</v>
      </c>
      <c r="G4" s="195">
        <v>0</v>
      </c>
      <c r="H4" s="194">
        <v>-1</v>
      </c>
      <c r="I4" s="192">
        <v>-2.9000000000000004</v>
      </c>
      <c r="J4" s="195">
        <v>0</v>
      </c>
      <c r="K4" s="192">
        <v>-1</v>
      </c>
      <c r="L4" s="192">
        <v>-2.1</v>
      </c>
      <c r="M4" s="195">
        <v>0</v>
      </c>
    </row>
    <row r="5" spans="1:13" x14ac:dyDescent="0.2">
      <c r="A5" s="82" t="s">
        <v>88</v>
      </c>
      <c r="B5" s="194">
        <v>0</v>
      </c>
      <c r="C5" s="192">
        <v>0</v>
      </c>
      <c r="D5" s="195">
        <v>0</v>
      </c>
      <c r="E5" s="194">
        <v>1</v>
      </c>
      <c r="F5" s="192">
        <v>2.7</v>
      </c>
      <c r="G5" s="195">
        <v>0</v>
      </c>
      <c r="H5" s="194">
        <v>1</v>
      </c>
      <c r="I5" s="192">
        <v>2.7</v>
      </c>
      <c r="J5" s="195">
        <v>0</v>
      </c>
      <c r="K5" s="192">
        <v>0</v>
      </c>
      <c r="L5" s="192">
        <v>2.1</v>
      </c>
      <c r="M5" s="195">
        <v>0</v>
      </c>
    </row>
    <row r="6" spans="1:13" x14ac:dyDescent="0.2">
      <c r="A6" s="82" t="s">
        <v>89</v>
      </c>
      <c r="B6" s="194">
        <v>-1.5</v>
      </c>
      <c r="C6" s="192">
        <v>0</v>
      </c>
      <c r="D6" s="195">
        <v>0</v>
      </c>
      <c r="E6" s="194">
        <v>-0.5</v>
      </c>
      <c r="F6" s="192">
        <v>0</v>
      </c>
      <c r="G6" s="195">
        <v>0</v>
      </c>
      <c r="H6" s="194">
        <v>-0.5</v>
      </c>
      <c r="I6" s="192">
        <v>0</v>
      </c>
      <c r="J6" s="195">
        <v>0</v>
      </c>
      <c r="K6" s="192">
        <v>0</v>
      </c>
      <c r="L6" s="192">
        <v>0</v>
      </c>
      <c r="M6" s="195">
        <v>0</v>
      </c>
    </row>
    <row r="7" spans="1:13" s="68" customFormat="1" x14ac:dyDescent="0.2">
      <c r="A7" s="82" t="s">
        <v>90</v>
      </c>
      <c r="B7" s="194">
        <v>0</v>
      </c>
      <c r="C7" s="192">
        <v>-1</v>
      </c>
      <c r="D7" s="195">
        <v>1</v>
      </c>
      <c r="E7" s="194">
        <v>0</v>
      </c>
      <c r="F7" s="192">
        <v>-1</v>
      </c>
      <c r="G7" s="195">
        <v>1</v>
      </c>
      <c r="H7" s="194">
        <v>0</v>
      </c>
      <c r="I7" s="192">
        <v>-1</v>
      </c>
      <c r="J7" s="195">
        <v>1</v>
      </c>
      <c r="K7" s="192">
        <v>0</v>
      </c>
      <c r="L7" s="192">
        <v>-1</v>
      </c>
      <c r="M7" s="195">
        <v>1</v>
      </c>
    </row>
    <row r="8" spans="1:13" s="68" customFormat="1" x14ac:dyDescent="0.2">
      <c r="A8" s="82" t="s">
        <v>91</v>
      </c>
      <c r="B8" s="194">
        <v>0</v>
      </c>
      <c r="C8" s="192">
        <v>0</v>
      </c>
      <c r="D8" s="195">
        <v>0</v>
      </c>
      <c r="E8" s="194">
        <v>0</v>
      </c>
      <c r="F8" s="192">
        <v>0</v>
      </c>
      <c r="G8" s="195">
        <v>0</v>
      </c>
      <c r="H8" s="194">
        <v>0</v>
      </c>
      <c r="I8" s="192">
        <v>0</v>
      </c>
      <c r="J8" s="195">
        <v>0</v>
      </c>
      <c r="K8" s="192">
        <v>0</v>
      </c>
      <c r="L8" s="192">
        <v>0</v>
      </c>
      <c r="M8" s="195">
        <v>0</v>
      </c>
    </row>
    <row r="9" spans="1:13" x14ac:dyDescent="0.2">
      <c r="A9" s="82" t="s">
        <v>92</v>
      </c>
      <c r="B9" s="194">
        <v>0</v>
      </c>
      <c r="C9" s="192">
        <v>0</v>
      </c>
      <c r="D9" s="195">
        <v>0</v>
      </c>
      <c r="E9" s="194">
        <v>0</v>
      </c>
      <c r="F9" s="192">
        <v>0</v>
      </c>
      <c r="G9" s="195">
        <v>0</v>
      </c>
      <c r="H9" s="194">
        <v>0</v>
      </c>
      <c r="I9" s="192">
        <v>0</v>
      </c>
      <c r="J9" s="195">
        <v>0</v>
      </c>
      <c r="K9" s="192">
        <v>0</v>
      </c>
      <c r="L9" s="192">
        <v>0</v>
      </c>
      <c r="M9" s="195">
        <v>0</v>
      </c>
    </row>
    <row r="10" spans="1:13" x14ac:dyDescent="0.2">
      <c r="A10" s="221" t="s">
        <v>93</v>
      </c>
      <c r="B10" s="196">
        <v>0</v>
      </c>
      <c r="C10" s="197">
        <v>0</v>
      </c>
      <c r="D10" s="198">
        <v>0</v>
      </c>
      <c r="E10" s="196">
        <v>0</v>
      </c>
      <c r="F10" s="197">
        <v>0</v>
      </c>
      <c r="G10" s="198">
        <v>0</v>
      </c>
      <c r="H10" s="196">
        <v>0</v>
      </c>
      <c r="I10" s="197">
        <v>0</v>
      </c>
      <c r="J10" s="198">
        <v>0</v>
      </c>
      <c r="K10" s="197">
        <v>1</v>
      </c>
      <c r="L10" s="197">
        <v>0</v>
      </c>
      <c r="M10" s="198">
        <v>0</v>
      </c>
    </row>
    <row r="11" spans="1:13" x14ac:dyDescent="0.2">
      <c r="A11" s="82" t="s">
        <v>94</v>
      </c>
      <c r="B11" s="194">
        <v>1</v>
      </c>
      <c r="C11" s="192">
        <v>1.0999999999999999</v>
      </c>
      <c r="D11" s="195">
        <v>0</v>
      </c>
      <c r="E11" s="191">
        <v>0</v>
      </c>
      <c r="F11" s="199">
        <v>0.19999999999999973</v>
      </c>
      <c r="G11" s="193">
        <v>0</v>
      </c>
      <c r="H11" s="191">
        <v>0</v>
      </c>
      <c r="I11" s="199">
        <v>0.19999999999999973</v>
      </c>
      <c r="J11" s="193">
        <v>0</v>
      </c>
      <c r="K11" s="192">
        <v>2</v>
      </c>
      <c r="L11" s="192">
        <v>0.4</v>
      </c>
      <c r="M11" s="195">
        <v>0</v>
      </c>
    </row>
    <row r="12" spans="1:13" x14ac:dyDescent="0.2">
      <c r="A12" s="82" t="s">
        <v>18</v>
      </c>
      <c r="B12" s="194">
        <v>1</v>
      </c>
      <c r="C12" s="192">
        <v>-1</v>
      </c>
      <c r="D12" s="195">
        <v>0</v>
      </c>
      <c r="E12" s="194">
        <v>0</v>
      </c>
      <c r="F12" s="192">
        <v>-1</v>
      </c>
      <c r="G12" s="195">
        <v>0</v>
      </c>
      <c r="H12" s="194">
        <v>0</v>
      </c>
      <c r="I12" s="192">
        <v>-1</v>
      </c>
      <c r="J12" s="195">
        <v>0</v>
      </c>
      <c r="K12" s="192">
        <v>0</v>
      </c>
      <c r="L12" s="192">
        <v>-1</v>
      </c>
      <c r="M12" s="195">
        <v>0</v>
      </c>
    </row>
    <row r="13" spans="1:13" x14ac:dyDescent="0.2">
      <c r="A13" s="79" t="s">
        <v>79</v>
      </c>
      <c r="B13" s="191">
        <v>0</v>
      </c>
      <c r="C13" s="199">
        <v>1</v>
      </c>
      <c r="D13" s="193">
        <v>-1</v>
      </c>
      <c r="E13" s="191">
        <v>0</v>
      </c>
      <c r="F13" s="199">
        <v>0</v>
      </c>
      <c r="G13" s="193">
        <v>0</v>
      </c>
      <c r="H13" s="191">
        <v>0</v>
      </c>
      <c r="I13" s="199">
        <v>0</v>
      </c>
      <c r="J13" s="193">
        <v>0</v>
      </c>
      <c r="K13" s="199">
        <v>0</v>
      </c>
      <c r="L13" s="199">
        <v>0</v>
      </c>
      <c r="M13" s="193">
        <v>0</v>
      </c>
    </row>
    <row r="14" spans="1:13" x14ac:dyDescent="0.2">
      <c r="A14" s="82" t="s">
        <v>81</v>
      </c>
      <c r="B14" s="194">
        <v>0</v>
      </c>
      <c r="C14" s="192">
        <v>0</v>
      </c>
      <c r="D14" s="195">
        <v>0</v>
      </c>
      <c r="E14" s="194">
        <v>0</v>
      </c>
      <c r="F14" s="192">
        <v>1</v>
      </c>
      <c r="G14" s="195">
        <v>-1</v>
      </c>
      <c r="H14" s="194">
        <v>0</v>
      </c>
      <c r="I14" s="192">
        <v>0</v>
      </c>
      <c r="J14" s="195">
        <v>0</v>
      </c>
      <c r="K14" s="192">
        <v>0</v>
      </c>
      <c r="L14" s="192">
        <v>0</v>
      </c>
      <c r="M14" s="195">
        <v>0</v>
      </c>
    </row>
    <row r="15" spans="1:13" x14ac:dyDescent="0.2">
      <c r="A15" s="82" t="s">
        <v>83</v>
      </c>
      <c r="B15" s="194">
        <v>0</v>
      </c>
      <c r="C15" s="192">
        <v>0</v>
      </c>
      <c r="D15" s="195">
        <v>0</v>
      </c>
      <c r="E15" s="194">
        <v>0</v>
      </c>
      <c r="F15" s="192">
        <v>0</v>
      </c>
      <c r="G15" s="195">
        <v>0</v>
      </c>
      <c r="H15" s="194">
        <v>0</v>
      </c>
      <c r="I15" s="192">
        <v>1</v>
      </c>
      <c r="J15" s="195">
        <v>-1</v>
      </c>
      <c r="K15" s="192">
        <v>0</v>
      </c>
      <c r="L15" s="192">
        <v>0</v>
      </c>
      <c r="M15" s="195">
        <v>0</v>
      </c>
    </row>
    <row r="16" spans="1:13" x14ac:dyDescent="0.2">
      <c r="A16" s="221" t="s">
        <v>84</v>
      </c>
      <c r="B16" s="196">
        <v>0</v>
      </c>
      <c r="C16" s="197">
        <v>0</v>
      </c>
      <c r="D16" s="198">
        <v>0</v>
      </c>
      <c r="E16" s="196">
        <v>0</v>
      </c>
      <c r="F16" s="197">
        <v>0</v>
      </c>
      <c r="G16" s="198">
        <v>0</v>
      </c>
      <c r="H16" s="196">
        <v>0</v>
      </c>
      <c r="I16" s="197">
        <v>0</v>
      </c>
      <c r="J16" s="198">
        <v>0</v>
      </c>
      <c r="K16" s="197">
        <v>0</v>
      </c>
      <c r="L16" s="197">
        <v>1</v>
      </c>
      <c r="M16" s="198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2578125" defaultRowHeight="12.75" x14ac:dyDescent="0.2"/>
  <cols>
    <col min="1" max="2" width="11.42578125" style="62"/>
    <col min="3" max="3" width="7.5703125" style="62" customWidth="1"/>
    <col min="4" max="4" width="3" style="62" customWidth="1"/>
    <col min="5" max="6" width="11.42578125" style="62"/>
    <col min="7" max="7" width="12" style="62" bestFit="1" customWidth="1"/>
    <col min="8" max="16384" width="11.42578125" style="62"/>
  </cols>
  <sheetData>
    <row r="1" spans="1:7" x14ac:dyDescent="0.2">
      <c r="A1" s="79" t="s">
        <v>80</v>
      </c>
      <c r="B1" s="181">
        <v>1E-10</v>
      </c>
      <c r="C1" s="80" t="s">
        <v>95</v>
      </c>
      <c r="D1" s="81" t="s">
        <v>96</v>
      </c>
      <c r="E1" s="89"/>
      <c r="F1" s="89"/>
      <c r="G1" s="89"/>
    </row>
    <row r="2" spans="1:7" x14ac:dyDescent="0.2">
      <c r="A2" s="82" t="s">
        <v>82</v>
      </c>
      <c r="B2" s="181">
        <v>1E-10</v>
      </c>
      <c r="C2" s="83" t="s">
        <v>95</v>
      </c>
      <c r="D2" s="84" t="s">
        <v>96</v>
      </c>
      <c r="E2" s="89"/>
      <c r="F2" s="89"/>
      <c r="G2" s="89"/>
    </row>
    <row r="3" spans="1:7" x14ac:dyDescent="0.2">
      <c r="A3" s="82" t="s">
        <v>88</v>
      </c>
      <c r="B3" s="181">
        <v>1E-10</v>
      </c>
      <c r="C3" s="83" t="s">
        <v>95</v>
      </c>
      <c r="D3" s="84" t="s">
        <v>96</v>
      </c>
      <c r="E3" s="89"/>
      <c r="F3" s="89"/>
      <c r="G3" s="89"/>
    </row>
    <row r="4" spans="1:7" x14ac:dyDescent="0.2">
      <c r="A4" s="82" t="s">
        <v>89</v>
      </c>
      <c r="B4" s="181">
        <v>1E-10</v>
      </c>
      <c r="C4" s="83" t="s">
        <v>95</v>
      </c>
      <c r="D4" s="84" t="s">
        <v>96</v>
      </c>
      <c r="E4" s="89"/>
      <c r="F4" s="89"/>
      <c r="G4" s="89"/>
    </row>
    <row r="5" spans="1:7" x14ac:dyDescent="0.2">
      <c r="A5" s="82" t="s">
        <v>90</v>
      </c>
      <c r="B5" s="181">
        <v>1E-10</v>
      </c>
      <c r="C5" s="83" t="s">
        <v>95</v>
      </c>
      <c r="D5" s="84" t="s">
        <v>96</v>
      </c>
      <c r="E5" s="89"/>
      <c r="F5" s="89"/>
      <c r="G5" s="89"/>
    </row>
    <row r="6" spans="1:7" x14ac:dyDescent="0.2">
      <c r="A6" s="69" t="s">
        <v>91</v>
      </c>
      <c r="B6" s="181">
        <f>B1/2</f>
        <v>5.0000000000000002E-11</v>
      </c>
      <c r="C6" s="87" t="s">
        <v>95</v>
      </c>
      <c r="D6" s="201" t="s">
        <v>96</v>
      </c>
      <c r="E6" s="89"/>
      <c r="F6" s="89"/>
      <c r="G6" s="89"/>
    </row>
    <row r="7" spans="1:7" x14ac:dyDescent="0.2">
      <c r="A7" s="66" t="s">
        <v>92</v>
      </c>
      <c r="B7" s="217">
        <v>1E-10</v>
      </c>
      <c r="C7" s="85" t="s">
        <v>95</v>
      </c>
      <c r="D7" s="81" t="s">
        <v>21</v>
      </c>
      <c r="E7" s="89"/>
      <c r="F7" s="89"/>
      <c r="G7" s="89"/>
    </row>
    <row r="8" spans="1:7" x14ac:dyDescent="0.2">
      <c r="A8" s="206" t="s">
        <v>93</v>
      </c>
      <c r="B8" s="217">
        <v>1</v>
      </c>
      <c r="C8" s="80" t="s">
        <v>97</v>
      </c>
      <c r="D8" s="81" t="s">
        <v>98</v>
      </c>
      <c r="E8" s="89"/>
      <c r="F8" s="89"/>
      <c r="G8" s="89"/>
    </row>
    <row r="9" spans="1:7" x14ac:dyDescent="0.2">
      <c r="A9" s="66" t="s">
        <v>79</v>
      </c>
      <c r="B9" s="222">
        <v>0</v>
      </c>
      <c r="C9" s="218" t="s">
        <v>95</v>
      </c>
      <c r="D9" s="86" t="s">
        <v>22</v>
      </c>
      <c r="E9" s="89"/>
      <c r="F9" s="89"/>
      <c r="G9" s="89"/>
    </row>
    <row r="10" spans="1:7" x14ac:dyDescent="0.2">
      <c r="A10" s="67" t="s">
        <v>81</v>
      </c>
      <c r="B10" s="222">
        <v>0</v>
      </c>
      <c r="C10" s="219" t="s">
        <v>95</v>
      </c>
      <c r="D10" s="90" t="s">
        <v>22</v>
      </c>
      <c r="E10" s="89"/>
      <c r="F10" s="89"/>
      <c r="G10" s="89"/>
    </row>
    <row r="11" spans="1:7" x14ac:dyDescent="0.2">
      <c r="A11" s="67" t="s">
        <v>83</v>
      </c>
      <c r="B11" s="222">
        <v>0</v>
      </c>
      <c r="C11" s="219" t="s">
        <v>95</v>
      </c>
      <c r="D11" s="90" t="s">
        <v>22</v>
      </c>
      <c r="E11" s="89"/>
      <c r="F11" s="89"/>
      <c r="G11" s="89"/>
    </row>
    <row r="12" spans="1:7" x14ac:dyDescent="0.2">
      <c r="A12" s="69" t="s">
        <v>84</v>
      </c>
      <c r="B12" s="160">
        <v>0</v>
      </c>
      <c r="C12" s="220" t="s">
        <v>95</v>
      </c>
      <c r="D12" s="88" t="s">
        <v>22</v>
      </c>
      <c r="E12" s="89"/>
      <c r="F12" s="89"/>
      <c r="G12" s="89"/>
    </row>
    <row r="14" spans="1:7" x14ac:dyDescent="0.2">
      <c r="A14" s="89"/>
      <c r="B14" s="89"/>
      <c r="C14" s="89"/>
      <c r="D14" s="89"/>
      <c r="E14" s="89"/>
      <c r="F14" s="89"/>
      <c r="G14" s="2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1" sqref="B1"/>
    </sheetView>
  </sheetViews>
  <sheetFormatPr defaultColWidth="9.140625" defaultRowHeight="12.75" x14ac:dyDescent="0.2"/>
  <cols>
    <col min="1" max="3" width="9.140625" style="62"/>
    <col min="4" max="4" width="4.42578125" style="62" customWidth="1"/>
    <col min="5" max="16384" width="9.140625" style="62"/>
  </cols>
  <sheetData>
    <row r="1" spans="1:10" x14ac:dyDescent="0.2">
      <c r="A1" s="66" t="s">
        <v>80</v>
      </c>
      <c r="B1" s="224">
        <f>(40)/(17*1000)</f>
        <v>2.352941176470588E-3</v>
      </c>
      <c r="C1" s="85" t="s">
        <v>95</v>
      </c>
      <c r="D1" s="86" t="s">
        <v>20</v>
      </c>
      <c r="E1" s="89"/>
      <c r="F1" s="89"/>
      <c r="G1" s="89"/>
      <c r="H1" s="89"/>
      <c r="I1" s="89"/>
      <c r="J1" s="89"/>
    </row>
    <row r="2" spans="1:10" x14ac:dyDescent="0.2">
      <c r="A2" s="67" t="s">
        <v>82</v>
      </c>
      <c r="B2" s="181">
        <v>9.9999999999999995E-21</v>
      </c>
      <c r="C2" s="176" t="s">
        <v>95</v>
      </c>
      <c r="D2" s="90" t="s">
        <v>20</v>
      </c>
      <c r="E2" s="89"/>
      <c r="F2" s="89"/>
      <c r="G2" s="89"/>
      <c r="H2" s="89"/>
      <c r="I2" s="89"/>
      <c r="J2" s="89"/>
    </row>
    <row r="3" spans="1:10" x14ac:dyDescent="0.2">
      <c r="A3" s="67" t="s">
        <v>88</v>
      </c>
      <c r="B3" s="181">
        <v>9.9999999999999995E-21</v>
      </c>
      <c r="C3" s="176" t="s">
        <v>95</v>
      </c>
      <c r="D3" s="90" t="s">
        <v>20</v>
      </c>
      <c r="E3" s="89"/>
      <c r="F3" s="89"/>
      <c r="G3" s="89"/>
      <c r="H3" s="89"/>
      <c r="I3" s="89"/>
      <c r="J3" s="89"/>
    </row>
    <row r="4" spans="1:10" x14ac:dyDescent="0.2">
      <c r="A4" s="67" t="s">
        <v>89</v>
      </c>
      <c r="B4" s="181">
        <f>(1)/(32*1000)</f>
        <v>3.1250000000000001E-5</v>
      </c>
      <c r="C4" s="176" t="s">
        <v>95</v>
      </c>
      <c r="D4" s="90" t="s">
        <v>99</v>
      </c>
      <c r="E4" s="89"/>
      <c r="F4" s="89"/>
      <c r="G4" s="89"/>
      <c r="H4" s="89"/>
      <c r="I4" s="89"/>
      <c r="J4" s="89"/>
    </row>
    <row r="5" spans="1:10" x14ac:dyDescent="0.2">
      <c r="A5" s="67" t="s">
        <v>90</v>
      </c>
      <c r="B5" s="181">
        <v>1E-3</v>
      </c>
      <c r="C5" s="176" t="s">
        <v>95</v>
      </c>
      <c r="D5" s="90" t="s">
        <v>99</v>
      </c>
      <c r="E5" s="223"/>
      <c r="F5" s="223"/>
      <c r="G5" s="89"/>
      <c r="H5" s="89"/>
      <c r="I5" s="89"/>
      <c r="J5" s="89"/>
    </row>
    <row r="6" spans="1:10" x14ac:dyDescent="0.2">
      <c r="A6" s="210" t="s">
        <v>91</v>
      </c>
      <c r="B6" s="181">
        <f>B1/2</f>
        <v>1.176470588235294E-3</v>
      </c>
      <c r="C6" s="176" t="s">
        <v>95</v>
      </c>
      <c r="D6" s="90" t="s">
        <v>99</v>
      </c>
      <c r="E6" s="223"/>
      <c r="F6" s="223"/>
      <c r="G6" s="89"/>
      <c r="H6" s="89"/>
      <c r="I6" s="89"/>
      <c r="J6" s="89"/>
    </row>
    <row r="7" spans="1:10" x14ac:dyDescent="0.2">
      <c r="A7" s="207" t="s">
        <v>92</v>
      </c>
      <c r="B7" s="217">
        <f>B5</f>
        <v>1E-3</v>
      </c>
      <c r="C7" s="208" t="s">
        <v>95</v>
      </c>
      <c r="D7" s="209" t="s">
        <v>99</v>
      </c>
      <c r="E7" s="89"/>
      <c r="F7" s="89"/>
      <c r="G7" s="89"/>
      <c r="H7" s="89"/>
      <c r="I7" s="89"/>
      <c r="J7" s="89"/>
    </row>
    <row r="13" spans="1:10" x14ac:dyDescent="0.2">
      <c r="A13" s="89"/>
      <c r="B13" s="89"/>
      <c r="C13" s="89"/>
      <c r="D13" s="89"/>
      <c r="E13" s="89"/>
      <c r="F13" s="89"/>
      <c r="G13" s="89"/>
      <c r="H13" s="89"/>
      <c r="I13" s="89"/>
      <c r="J13" s="91"/>
    </row>
    <row r="16" spans="1:10" x14ac:dyDescent="0.2">
      <c r="A16" s="89"/>
      <c r="B16" s="89"/>
      <c r="C16" s="89"/>
      <c r="D16" s="89"/>
      <c r="E16" s="89"/>
      <c r="F16" s="89"/>
      <c r="G16" s="89"/>
      <c r="H16" s="91"/>
      <c r="I16" s="89"/>
      <c r="J16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2578125" defaultRowHeight="15" x14ac:dyDescent="0.2"/>
  <cols>
    <col min="1" max="2" width="11.42578125" customWidth="1"/>
    <col min="3" max="6" width="11.42578125" style="142"/>
    <col min="7" max="7" width="2.85546875" style="96" customWidth="1"/>
    <col min="8" max="8" width="3.5703125" style="97" customWidth="1"/>
  </cols>
  <sheetData>
    <row r="1" spans="1:9" ht="15.75" thickBot="1" x14ac:dyDescent="0.25">
      <c r="A1" s="92" t="s">
        <v>100</v>
      </c>
      <c r="B1" s="93">
        <v>0</v>
      </c>
      <c r="C1" s="94">
        <v>0</v>
      </c>
      <c r="D1" s="95">
        <v>-1</v>
      </c>
      <c r="E1" s="94">
        <v>-2</v>
      </c>
      <c r="F1" s="95">
        <v>-3</v>
      </c>
    </row>
    <row r="2" spans="1:9" x14ac:dyDescent="0.2">
      <c r="A2" s="98" t="s">
        <v>80</v>
      </c>
      <c r="B2" s="99" t="s">
        <v>101</v>
      </c>
      <c r="C2" s="99">
        <v>-79.37</v>
      </c>
      <c r="D2" s="99">
        <v>-26.57</v>
      </c>
      <c r="E2" s="99" t="s">
        <v>101</v>
      </c>
      <c r="F2" s="100" t="s">
        <v>101</v>
      </c>
      <c r="G2" s="101">
        <v>3</v>
      </c>
      <c r="H2" s="102" t="s">
        <v>96</v>
      </c>
    </row>
    <row r="3" spans="1:9" x14ac:dyDescent="0.2">
      <c r="A3" s="103" t="s">
        <v>82</v>
      </c>
      <c r="B3" s="104" t="s">
        <v>101</v>
      </c>
      <c r="C3" s="104">
        <v>-50.6</v>
      </c>
      <c r="D3" s="104">
        <v>-32.200000000000003</v>
      </c>
      <c r="E3" s="104" t="s">
        <v>101</v>
      </c>
      <c r="F3" s="105" t="s">
        <v>101</v>
      </c>
      <c r="G3" s="106">
        <v>2</v>
      </c>
      <c r="H3" s="107" t="s">
        <v>96</v>
      </c>
    </row>
    <row r="4" spans="1:9" x14ac:dyDescent="0.2">
      <c r="A4" s="103" t="s">
        <v>88</v>
      </c>
      <c r="B4" s="104" t="s">
        <v>101</v>
      </c>
      <c r="C4" s="104">
        <v>-103.7</v>
      </c>
      <c r="D4" s="104">
        <v>-111.3</v>
      </c>
      <c r="E4" s="104" t="s">
        <v>101</v>
      </c>
      <c r="F4" s="105" t="s">
        <v>101</v>
      </c>
      <c r="G4" s="106">
        <v>2</v>
      </c>
      <c r="H4" s="107" t="s">
        <v>96</v>
      </c>
    </row>
    <row r="5" spans="1:9" x14ac:dyDescent="0.2">
      <c r="A5" s="103" t="s">
        <v>89</v>
      </c>
      <c r="B5" s="104" t="s">
        <v>101</v>
      </c>
      <c r="C5" s="104">
        <v>16.399999999999999</v>
      </c>
      <c r="D5" s="104" t="s">
        <v>101</v>
      </c>
      <c r="E5" s="104" t="s">
        <v>101</v>
      </c>
      <c r="F5" s="105" t="s">
        <v>101</v>
      </c>
      <c r="G5" s="106">
        <v>2</v>
      </c>
      <c r="H5" s="107" t="s">
        <v>96</v>
      </c>
    </row>
    <row r="6" spans="1:9" x14ac:dyDescent="0.2">
      <c r="A6" s="103" t="s">
        <v>90</v>
      </c>
      <c r="B6" s="104">
        <v>-386</v>
      </c>
      <c r="C6" s="104">
        <v>-623.16</v>
      </c>
      <c r="D6" s="104">
        <v>-586.85</v>
      </c>
      <c r="E6" s="104">
        <v>-527.79999999999995</v>
      </c>
      <c r="F6" s="105" t="s">
        <v>101</v>
      </c>
      <c r="G6" s="106">
        <v>3</v>
      </c>
      <c r="H6" s="107" t="s">
        <v>96</v>
      </c>
    </row>
    <row r="7" spans="1:9" x14ac:dyDescent="0.2">
      <c r="A7" s="202" t="s">
        <v>91</v>
      </c>
      <c r="B7" s="205" t="s">
        <v>101</v>
      </c>
      <c r="C7" s="114">
        <v>-755.9</v>
      </c>
      <c r="D7" s="114">
        <v>-744.5</v>
      </c>
      <c r="E7" s="114" t="s">
        <v>101</v>
      </c>
      <c r="F7" s="214" t="s">
        <v>101</v>
      </c>
      <c r="G7" s="117">
        <v>4</v>
      </c>
      <c r="H7" s="118" t="s">
        <v>96</v>
      </c>
    </row>
    <row r="8" spans="1:9" s="96" customFormat="1" x14ac:dyDescent="0.2">
      <c r="A8" s="200" t="s">
        <v>92</v>
      </c>
      <c r="B8" s="203" t="s">
        <v>101</v>
      </c>
      <c r="C8" s="108">
        <v>0</v>
      </c>
      <c r="D8" s="108" t="s">
        <v>101</v>
      </c>
      <c r="E8" s="108" t="s">
        <v>101</v>
      </c>
      <c r="F8" s="204" t="s">
        <v>101</v>
      </c>
      <c r="G8" s="109">
        <v>2</v>
      </c>
      <c r="H8" s="110" t="s">
        <v>96</v>
      </c>
      <c r="I8"/>
    </row>
    <row r="9" spans="1:9" s="96" customFormat="1" x14ac:dyDescent="0.2">
      <c r="A9" s="185" t="s">
        <v>93</v>
      </c>
      <c r="B9" s="186" t="s">
        <v>101</v>
      </c>
      <c r="C9" s="187">
        <v>0</v>
      </c>
      <c r="D9" s="187" t="s">
        <v>101</v>
      </c>
      <c r="E9" s="187" t="s">
        <v>101</v>
      </c>
      <c r="F9" s="188" t="s">
        <v>101</v>
      </c>
      <c r="G9" s="189">
        <v>2</v>
      </c>
      <c r="H9" s="190" t="s">
        <v>98</v>
      </c>
    </row>
    <row r="10" spans="1:9" s="96" customFormat="1" x14ac:dyDescent="0.2">
      <c r="A10" s="111" t="s">
        <v>94</v>
      </c>
      <c r="B10" s="108" t="s">
        <v>101</v>
      </c>
      <c r="C10" s="108">
        <v>-237.18</v>
      </c>
      <c r="D10" s="108">
        <v>-157.30000000000001</v>
      </c>
      <c r="E10" s="108" t="s">
        <v>101</v>
      </c>
      <c r="F10" s="112" t="s">
        <v>101</v>
      </c>
      <c r="G10" s="109">
        <v>2</v>
      </c>
      <c r="H10" s="110" t="s">
        <v>96</v>
      </c>
    </row>
    <row r="11" spans="1:9" s="96" customFormat="1" x14ac:dyDescent="0.2">
      <c r="A11" s="113" t="s">
        <v>18</v>
      </c>
      <c r="B11" s="114" t="s">
        <v>101</v>
      </c>
      <c r="C11" s="114">
        <v>0</v>
      </c>
      <c r="D11" s="114" t="s">
        <v>101</v>
      </c>
      <c r="E11" s="115" t="s">
        <v>101</v>
      </c>
      <c r="F11" s="116" t="s">
        <v>101</v>
      </c>
      <c r="G11" s="117">
        <v>2</v>
      </c>
      <c r="H11" s="118" t="s">
        <v>96</v>
      </c>
    </row>
    <row r="12" spans="1:9" s="96" customFormat="1" x14ac:dyDescent="0.2">
      <c r="A12" s="119" t="s">
        <v>79</v>
      </c>
      <c r="B12" s="120" t="s">
        <v>101</v>
      </c>
      <c r="C12" s="121">
        <v>-67</v>
      </c>
      <c r="D12" s="120" t="s">
        <v>101</v>
      </c>
      <c r="E12" s="121" t="s">
        <v>101</v>
      </c>
      <c r="F12" s="122" t="s">
        <v>101</v>
      </c>
      <c r="G12" s="109">
        <v>2</v>
      </c>
      <c r="H12" s="123" t="s">
        <v>22</v>
      </c>
    </row>
    <row r="13" spans="1:9" s="96" customFormat="1" x14ac:dyDescent="0.2">
      <c r="A13" s="124" t="s">
        <v>81</v>
      </c>
      <c r="B13" s="120" t="s">
        <v>101</v>
      </c>
      <c r="C13" s="121">
        <v>-67</v>
      </c>
      <c r="D13" s="120" t="s">
        <v>101</v>
      </c>
      <c r="E13" s="121" t="s">
        <v>101</v>
      </c>
      <c r="F13" s="122" t="s">
        <v>101</v>
      </c>
      <c r="G13" s="106">
        <v>2</v>
      </c>
      <c r="H13" s="107" t="s">
        <v>22</v>
      </c>
    </row>
    <row r="14" spans="1:9" s="96" customFormat="1" x14ac:dyDescent="0.2">
      <c r="A14" s="124" t="s">
        <v>83</v>
      </c>
      <c r="B14" s="120" t="s">
        <v>101</v>
      </c>
      <c r="C14" s="121">
        <v>-67</v>
      </c>
      <c r="D14" s="120" t="s">
        <v>101</v>
      </c>
      <c r="E14" s="121" t="s">
        <v>101</v>
      </c>
      <c r="F14" s="122" t="s">
        <v>101</v>
      </c>
      <c r="G14" s="106">
        <v>2</v>
      </c>
      <c r="H14" s="107" t="s">
        <v>22</v>
      </c>
    </row>
    <row r="15" spans="1:9" s="96" customFormat="1" ht="15.75" thickBot="1" x14ac:dyDescent="0.25">
      <c r="A15" s="124" t="s">
        <v>84</v>
      </c>
      <c r="B15" s="120" t="s">
        <v>101</v>
      </c>
      <c r="C15" s="121">
        <v>-67</v>
      </c>
      <c r="D15" s="120" t="s">
        <v>101</v>
      </c>
      <c r="E15" s="121" t="s">
        <v>101</v>
      </c>
      <c r="F15" s="122" t="s">
        <v>101</v>
      </c>
      <c r="G15" s="125">
        <v>2</v>
      </c>
      <c r="H15" s="126" t="s">
        <v>22</v>
      </c>
    </row>
    <row r="16" spans="1:9" s="96" customFormat="1" x14ac:dyDescent="0.2">
      <c r="A16" s="98" t="s">
        <v>80</v>
      </c>
      <c r="B16" s="127" t="s">
        <v>102</v>
      </c>
      <c r="C16" s="128">
        <v>1</v>
      </c>
      <c r="D16" s="128">
        <v>0</v>
      </c>
      <c r="E16" s="128" t="s">
        <v>102</v>
      </c>
      <c r="F16" s="129" t="s">
        <v>102</v>
      </c>
      <c r="H16" s="97"/>
    </row>
    <row r="17" spans="1:9" s="96" customFormat="1" x14ac:dyDescent="0.2">
      <c r="A17" s="103" t="s">
        <v>82</v>
      </c>
      <c r="B17" s="130" t="s">
        <v>102</v>
      </c>
      <c r="C17" s="131">
        <v>0</v>
      </c>
      <c r="D17" s="131">
        <v>-1</v>
      </c>
      <c r="E17" s="131" t="s">
        <v>102</v>
      </c>
      <c r="F17" s="132" t="s">
        <v>102</v>
      </c>
      <c r="H17" s="97"/>
    </row>
    <row r="18" spans="1:9" s="96" customFormat="1" x14ac:dyDescent="0.2">
      <c r="A18" s="103" t="s">
        <v>88</v>
      </c>
      <c r="B18" s="130" t="s">
        <v>102</v>
      </c>
      <c r="C18" s="131">
        <v>0</v>
      </c>
      <c r="D18" s="131">
        <v>-1</v>
      </c>
      <c r="E18" s="131" t="s">
        <v>102</v>
      </c>
      <c r="F18" s="132" t="s">
        <v>102</v>
      </c>
      <c r="H18" s="97"/>
    </row>
    <row r="19" spans="1:9" s="96" customFormat="1" x14ac:dyDescent="0.2">
      <c r="A19" s="103" t="s">
        <v>89</v>
      </c>
      <c r="B19" s="130" t="s">
        <v>102</v>
      </c>
      <c r="C19" s="131">
        <v>0</v>
      </c>
      <c r="D19" s="131" t="s">
        <v>102</v>
      </c>
      <c r="E19" s="131" t="s">
        <v>102</v>
      </c>
      <c r="F19" s="132" t="s">
        <v>102</v>
      </c>
      <c r="H19" s="97"/>
    </row>
    <row r="20" spans="1:9" x14ac:dyDescent="0.2">
      <c r="A20" s="103" t="s">
        <v>90</v>
      </c>
      <c r="B20" s="130">
        <v>0</v>
      </c>
      <c r="C20" s="131">
        <v>0</v>
      </c>
      <c r="D20" s="131">
        <v>-1</v>
      </c>
      <c r="E20" s="131">
        <v>-2</v>
      </c>
      <c r="F20" s="132" t="s">
        <v>102</v>
      </c>
      <c r="I20" s="96"/>
    </row>
    <row r="21" spans="1:9" x14ac:dyDescent="0.2">
      <c r="A21" s="202" t="s">
        <v>91</v>
      </c>
      <c r="B21" s="135" t="s">
        <v>102</v>
      </c>
      <c r="C21" s="135">
        <v>-1</v>
      </c>
      <c r="D21" s="135">
        <v>-2</v>
      </c>
      <c r="E21" s="135" t="s">
        <v>102</v>
      </c>
      <c r="F21" s="136" t="s">
        <v>102</v>
      </c>
      <c r="I21" s="96"/>
    </row>
    <row r="22" spans="1:9" x14ac:dyDescent="0.2">
      <c r="A22" s="200" t="s">
        <v>92</v>
      </c>
      <c r="B22" s="133" t="s">
        <v>102</v>
      </c>
      <c r="C22" s="133">
        <v>1</v>
      </c>
      <c r="D22" s="133" t="s">
        <v>102</v>
      </c>
      <c r="E22" s="133" t="s">
        <v>102</v>
      </c>
      <c r="F22" s="134" t="s">
        <v>102</v>
      </c>
      <c r="H22" s="96"/>
      <c r="I22" s="96"/>
    </row>
    <row r="23" spans="1:9" x14ac:dyDescent="0.2">
      <c r="A23" s="185" t="s">
        <v>93</v>
      </c>
      <c r="B23" s="211" t="s">
        <v>102</v>
      </c>
      <c r="C23" s="211">
        <v>0</v>
      </c>
      <c r="D23" s="212" t="s">
        <v>102</v>
      </c>
      <c r="E23" s="211" t="s">
        <v>102</v>
      </c>
      <c r="F23" s="213" t="s">
        <v>102</v>
      </c>
      <c r="H23" s="96"/>
      <c r="I23" s="96"/>
    </row>
    <row r="24" spans="1:9" x14ac:dyDescent="0.2">
      <c r="A24" s="111" t="s">
        <v>94</v>
      </c>
      <c r="B24" s="133" t="s">
        <v>102</v>
      </c>
      <c r="C24" s="133">
        <v>0</v>
      </c>
      <c r="D24" s="133">
        <v>-1</v>
      </c>
      <c r="E24" s="133" t="s">
        <v>102</v>
      </c>
      <c r="F24" s="134" t="s">
        <v>102</v>
      </c>
      <c r="H24" s="96"/>
      <c r="I24" s="96"/>
    </row>
    <row r="25" spans="1:9" x14ac:dyDescent="0.2">
      <c r="A25" s="113" t="s">
        <v>18</v>
      </c>
      <c r="B25" s="135" t="s">
        <v>102</v>
      </c>
      <c r="C25" s="135">
        <v>1</v>
      </c>
      <c r="D25" s="135" t="s">
        <v>102</v>
      </c>
      <c r="E25" s="135" t="s">
        <v>102</v>
      </c>
      <c r="F25" s="136" t="s">
        <v>102</v>
      </c>
      <c r="H25" s="96"/>
    </row>
    <row r="26" spans="1:9" x14ac:dyDescent="0.2">
      <c r="A26" s="119" t="s">
        <v>79</v>
      </c>
      <c r="B26" s="137" t="s">
        <v>102</v>
      </c>
      <c r="C26" s="137">
        <v>0</v>
      </c>
      <c r="D26" s="137" t="s">
        <v>102</v>
      </c>
      <c r="E26" s="137" t="s">
        <v>102</v>
      </c>
      <c r="F26" s="138" t="s">
        <v>102</v>
      </c>
      <c r="H26" s="96"/>
    </row>
    <row r="27" spans="1:9" x14ac:dyDescent="0.2">
      <c r="A27" s="124" t="s">
        <v>81</v>
      </c>
      <c r="B27" s="215" t="s">
        <v>102</v>
      </c>
      <c r="C27" s="215">
        <v>0</v>
      </c>
      <c r="D27" s="215" t="s">
        <v>102</v>
      </c>
      <c r="E27" s="215" t="s">
        <v>102</v>
      </c>
      <c r="F27" s="138" t="s">
        <v>102</v>
      </c>
      <c r="H27" s="96"/>
    </row>
    <row r="28" spans="1:9" x14ac:dyDescent="0.2">
      <c r="A28" s="124" t="s">
        <v>83</v>
      </c>
      <c r="B28" s="215" t="s">
        <v>102</v>
      </c>
      <c r="C28" s="215">
        <v>0</v>
      </c>
      <c r="D28" s="215" t="s">
        <v>102</v>
      </c>
      <c r="E28" s="215" t="s">
        <v>102</v>
      </c>
      <c r="F28" s="138" t="s">
        <v>102</v>
      </c>
      <c r="H28" s="96"/>
    </row>
    <row r="29" spans="1:9" ht="15.75" thickBot="1" x14ac:dyDescent="0.25">
      <c r="A29" s="139" t="s">
        <v>84</v>
      </c>
      <c r="B29" s="140" t="s">
        <v>102</v>
      </c>
      <c r="C29" s="140">
        <v>0</v>
      </c>
      <c r="D29" s="140" t="s">
        <v>102</v>
      </c>
      <c r="E29" s="140" t="s">
        <v>102</v>
      </c>
      <c r="F29" s="141" t="s">
        <v>102</v>
      </c>
      <c r="H29" s="96"/>
    </row>
    <row r="30" spans="1:9" ht="12.75" x14ac:dyDescent="0.2">
      <c r="A30" s="96"/>
      <c r="B30" s="96"/>
      <c r="C30" s="97"/>
      <c r="D30" s="96"/>
      <c r="E30" s="96"/>
      <c r="F30" s="96"/>
    </row>
    <row r="31" spans="1:9" ht="12.75" x14ac:dyDescent="0.2">
      <c r="A31" s="96"/>
      <c r="B31" s="96"/>
      <c r="C31" s="97"/>
      <c r="D31" s="96"/>
      <c r="E31" s="96"/>
      <c r="F31" s="96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tabSelected="1" workbookViewId="0">
      <selection activeCell="E9" sqref="E9"/>
    </sheetView>
  </sheetViews>
  <sheetFormatPr defaultColWidth="9.140625" defaultRowHeight="12.75" x14ac:dyDescent="0.2"/>
  <cols>
    <col min="1" max="1" width="14.85546875" style="62" customWidth="1"/>
    <col min="2" max="2" width="13.85546875" style="62" customWidth="1"/>
    <col min="3" max="3" width="9.140625" style="62"/>
    <col min="4" max="5" width="12.42578125" style="62" bestFit="1" customWidth="1"/>
    <col min="6" max="16384" width="9.140625" style="62"/>
  </cols>
  <sheetData>
    <row r="1" spans="1:4" x14ac:dyDescent="0.2">
      <c r="A1" s="143" t="s">
        <v>103</v>
      </c>
      <c r="B1" s="224">
        <f>((4/3)*PI()*B3^3)*B4</f>
        <v>2.0943951023931951E-12</v>
      </c>
      <c r="C1" s="144" t="s">
        <v>16</v>
      </c>
      <c r="D1" s="89"/>
    </row>
    <row r="2" spans="1:4" x14ac:dyDescent="0.2">
      <c r="A2" s="145" t="s">
        <v>104</v>
      </c>
      <c r="B2" s="181">
        <f>0.1*B1</f>
        <v>2.0943951023931951E-13</v>
      </c>
      <c r="C2" s="146" t="s">
        <v>16</v>
      </c>
      <c r="D2" s="89"/>
    </row>
    <row r="3" spans="1:4" x14ac:dyDescent="0.2">
      <c r="A3" s="145" t="s">
        <v>105</v>
      </c>
      <c r="B3" s="181">
        <f>(1)*10^(-6)</f>
        <v>9.9999999999999995E-7</v>
      </c>
      <c r="C3" s="146" t="s">
        <v>106</v>
      </c>
      <c r="D3" s="223"/>
    </row>
    <row r="4" spans="1:4" x14ac:dyDescent="0.2">
      <c r="A4" s="145" t="s">
        <v>107</v>
      </c>
      <c r="B4" s="181">
        <f>500*1000</f>
        <v>500000</v>
      </c>
      <c r="C4" s="146" t="s">
        <v>108</v>
      </c>
      <c r="D4" s="89"/>
    </row>
    <row r="5" spans="1:4" x14ac:dyDescent="0.2">
      <c r="A5" s="145" t="s">
        <v>109</v>
      </c>
      <c r="B5" s="225">
        <v>24.6</v>
      </c>
      <c r="C5" s="146" t="s">
        <v>110</v>
      </c>
      <c r="D5" s="89"/>
    </row>
    <row r="6" spans="1:4" x14ac:dyDescent="0.2">
      <c r="A6" s="145" t="s">
        <v>111</v>
      </c>
      <c r="B6" s="181">
        <f>Discretization!B3 - 2*Discretization!B8</f>
        <v>5.3999999999999998E-5</v>
      </c>
      <c r="C6" s="146" t="s">
        <v>106</v>
      </c>
      <c r="D6" s="89"/>
    </row>
    <row r="7" spans="1:4" x14ac:dyDescent="0.2">
      <c r="A7" s="145" t="s">
        <v>112</v>
      </c>
      <c r="B7" s="181">
        <f>2*Discretization!B5</f>
        <v>7.9999999999999996E-6</v>
      </c>
      <c r="C7" s="146" t="s">
        <v>106</v>
      </c>
      <c r="D7" s="89"/>
    </row>
    <row r="8" spans="1:4" x14ac:dyDescent="0.2">
      <c r="A8" s="145" t="s">
        <v>113</v>
      </c>
      <c r="B8" s="174">
        <f>4*ROUND(((B6/2)^2)/((B3)^2),0)</f>
        <v>2916</v>
      </c>
      <c r="C8" s="146" t="s">
        <v>114</v>
      </c>
      <c r="D8" s="89"/>
    </row>
    <row r="9" spans="1:4" x14ac:dyDescent="0.2">
      <c r="A9" s="82" t="s">
        <v>115</v>
      </c>
      <c r="B9" s="225">
        <v>1</v>
      </c>
      <c r="C9" s="146" t="s">
        <v>114</v>
      </c>
      <c r="D9" s="89"/>
    </row>
    <row r="10" spans="1:4" x14ac:dyDescent="0.2">
      <c r="A10" s="82" t="s">
        <v>116</v>
      </c>
      <c r="B10" s="159">
        <f>2*B3</f>
        <v>1.9999999999999999E-6</v>
      </c>
      <c r="C10" s="146" t="s">
        <v>106</v>
      </c>
      <c r="D10" s="89"/>
    </row>
    <row r="11" spans="1:4" x14ac:dyDescent="0.2">
      <c r="A11" s="147" t="s">
        <v>117</v>
      </c>
      <c r="B11" s="160">
        <f>(2*B3)*0.1</f>
        <v>1.9999999999999999E-7</v>
      </c>
      <c r="C11" s="148" t="s">
        <v>106</v>
      </c>
      <c r="D11" s="89"/>
    </row>
    <row r="15" spans="1:4" x14ac:dyDescent="0.2">
      <c r="A15" s="89"/>
      <c r="B15" s="222"/>
      <c r="C15" s="89"/>
      <c r="D15" s="89"/>
    </row>
    <row r="16" spans="1:4" x14ac:dyDescent="0.2">
      <c r="A16" s="89"/>
      <c r="B16" s="223"/>
      <c r="C16" s="89"/>
      <c r="D16" s="89"/>
    </row>
    <row r="18" spans="3:5" x14ac:dyDescent="0.2">
      <c r="C18" s="223"/>
      <c r="D18" s="89"/>
      <c r="E18" s="89"/>
    </row>
    <row r="19" spans="3:5" x14ac:dyDescent="0.2">
      <c r="C19" s="89"/>
      <c r="D19" s="223"/>
      <c r="E19" s="89"/>
    </row>
    <row r="20" spans="3:5" x14ac:dyDescent="0.2">
      <c r="C20" s="89"/>
      <c r="D20" s="89"/>
      <c r="E20" s="2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B7" sqref="B7"/>
    </sheetView>
  </sheetViews>
  <sheetFormatPr defaultColWidth="11.42578125" defaultRowHeight="12.75" x14ac:dyDescent="0.2"/>
  <cols>
    <col min="1" max="1" width="10.42578125" style="62" customWidth="1"/>
    <col min="2" max="2" width="11.42578125" style="62"/>
    <col min="3" max="3" width="12.140625" style="62" customWidth="1"/>
    <col min="4" max="16384" width="11.42578125" style="62"/>
  </cols>
  <sheetData>
    <row r="1" spans="1:5" x14ac:dyDescent="0.2">
      <c r="A1" s="149" t="s">
        <v>118</v>
      </c>
      <c r="B1" s="224">
        <f>(20)/(17*1000)</f>
        <v>1.176470588235294E-3</v>
      </c>
      <c r="C1" s="150" t="s">
        <v>95</v>
      </c>
      <c r="D1" s="89"/>
      <c r="E1" s="89"/>
    </row>
    <row r="2" spans="1:5" x14ac:dyDescent="0.2">
      <c r="A2" s="151" t="s">
        <v>40</v>
      </c>
      <c r="B2" s="225">
        <f>273.15+20</f>
        <v>293.14999999999998</v>
      </c>
      <c r="C2" s="146" t="s">
        <v>41</v>
      </c>
      <c r="D2" s="89"/>
      <c r="E2" s="89"/>
    </row>
    <row r="3" spans="1:5" x14ac:dyDescent="0.2">
      <c r="A3" s="151" t="s">
        <v>119</v>
      </c>
      <c r="B3" s="225">
        <f>8.3144/1000</f>
        <v>8.3143999999999996E-3</v>
      </c>
      <c r="C3" s="146" t="s">
        <v>37</v>
      </c>
      <c r="D3" s="89"/>
      <c r="E3" s="89"/>
    </row>
    <row r="4" spans="1:5" x14ac:dyDescent="0.2">
      <c r="A4" s="151" t="s">
        <v>120</v>
      </c>
      <c r="B4" s="225">
        <v>8.2057459999999999E-2</v>
      </c>
      <c r="C4" s="146" t="s">
        <v>121</v>
      </c>
      <c r="D4" s="89"/>
      <c r="E4" s="89"/>
    </row>
    <row r="5" spans="1:5" x14ac:dyDescent="0.2">
      <c r="A5" s="151" t="s">
        <v>21</v>
      </c>
      <c r="B5" s="225">
        <v>1</v>
      </c>
      <c r="C5" s="146" t="s">
        <v>97</v>
      </c>
      <c r="D5" s="89"/>
      <c r="E5" s="89"/>
    </row>
    <row r="6" spans="1:5" x14ac:dyDescent="0.2">
      <c r="A6" s="151" t="s">
        <v>122</v>
      </c>
      <c r="B6" s="181">
        <f>B7</f>
        <v>6.7858401317539521E-13</v>
      </c>
      <c r="C6" s="146" t="s">
        <v>123</v>
      </c>
      <c r="D6" s="89"/>
      <c r="E6" s="89"/>
    </row>
    <row r="7" spans="1:5" x14ac:dyDescent="0.2">
      <c r="A7" s="151" t="s">
        <v>124</v>
      </c>
      <c r="B7" s="181">
        <f>(((Bacteria!B8/3)*Bacteria!B1)/3)/1000</f>
        <v>6.7858401317539521E-13</v>
      </c>
      <c r="C7" s="146" t="s">
        <v>123</v>
      </c>
      <c r="D7" s="223"/>
      <c r="E7" s="89"/>
    </row>
    <row r="8" spans="1:5" x14ac:dyDescent="0.2">
      <c r="A8" s="151" t="s">
        <v>125</v>
      </c>
      <c r="B8" s="235">
        <v>7.7</v>
      </c>
      <c r="C8" s="146" t="s">
        <v>114</v>
      </c>
      <c r="D8" s="89"/>
      <c r="E8" s="89"/>
    </row>
    <row r="9" spans="1:5" x14ac:dyDescent="0.2">
      <c r="A9" s="151" t="s">
        <v>126</v>
      </c>
      <c r="B9" s="235">
        <v>4</v>
      </c>
      <c r="C9" s="146" t="s">
        <v>127</v>
      </c>
      <c r="D9" s="89"/>
      <c r="E9" s="89"/>
    </row>
    <row r="10" spans="1:5" x14ac:dyDescent="0.2">
      <c r="A10" s="152" t="s">
        <v>128</v>
      </c>
      <c r="B10" s="226">
        <f>(B7*1000)/0.01</f>
        <v>6.785840131753952E-8</v>
      </c>
      <c r="C10" s="153" t="s">
        <v>129</v>
      </c>
      <c r="D10" s="89"/>
      <c r="E10" s="89"/>
    </row>
    <row r="16" spans="1:5" x14ac:dyDescent="0.2">
      <c r="A16" s="89"/>
      <c r="B16" s="89"/>
      <c r="C16" s="89"/>
      <c r="D16" s="89"/>
      <c r="E16" s="223"/>
    </row>
    <row r="17" spans="3:4" x14ac:dyDescent="0.2">
      <c r="C17" s="223"/>
      <c r="D17" s="89"/>
    </row>
    <row r="18" spans="3:4" x14ac:dyDescent="0.2">
      <c r="C18" s="89"/>
      <c r="D18" s="2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F8" sqref="F8"/>
    </sheetView>
  </sheetViews>
  <sheetFormatPr defaultColWidth="9.140625" defaultRowHeight="12.75" x14ac:dyDescent="0.2"/>
  <cols>
    <col min="1" max="1" width="15.42578125" style="62" customWidth="1"/>
    <col min="2" max="16384" width="9.140625" style="62"/>
  </cols>
  <sheetData>
    <row r="1" spans="1:5" x14ac:dyDescent="0.2">
      <c r="A1" s="154" t="s">
        <v>130</v>
      </c>
      <c r="B1" s="227">
        <v>16</v>
      </c>
      <c r="C1" s="155" t="s">
        <v>114</v>
      </c>
      <c r="D1" s="89"/>
      <c r="E1" s="89"/>
    </row>
    <row r="2" spans="1:5" x14ac:dyDescent="0.2">
      <c r="A2" s="156" t="s">
        <v>131</v>
      </c>
      <c r="B2" s="228">
        <v>16</v>
      </c>
      <c r="C2" s="157" t="s">
        <v>114</v>
      </c>
      <c r="D2" s="89"/>
      <c r="E2" s="89"/>
    </row>
    <row r="3" spans="1:5" x14ac:dyDescent="0.2">
      <c r="A3" s="156" t="s">
        <v>132</v>
      </c>
      <c r="B3" s="229">
        <f>B1*B5</f>
        <v>6.3999999999999997E-5</v>
      </c>
      <c r="C3" s="157" t="s">
        <v>106</v>
      </c>
      <c r="D3" s="89"/>
      <c r="E3" s="89"/>
    </row>
    <row r="4" spans="1:5" x14ac:dyDescent="0.2">
      <c r="A4" s="156" t="s">
        <v>133</v>
      </c>
      <c r="B4" s="229">
        <f>B2*B6</f>
        <v>6.3999999999999997E-5</v>
      </c>
      <c r="C4" s="157" t="s">
        <v>106</v>
      </c>
      <c r="D4" s="89"/>
      <c r="E4" s="89"/>
    </row>
    <row r="5" spans="1:5" x14ac:dyDescent="0.2">
      <c r="A5" s="156" t="s">
        <v>134</v>
      </c>
      <c r="B5" s="229">
        <f>0.000001*4</f>
        <v>3.9999999999999998E-6</v>
      </c>
      <c r="C5" s="157" t="s">
        <v>106</v>
      </c>
      <c r="D5" s="89"/>
      <c r="E5" s="89"/>
    </row>
    <row r="6" spans="1:5" x14ac:dyDescent="0.2">
      <c r="A6" s="156" t="s">
        <v>135</v>
      </c>
      <c r="B6" s="229">
        <f>0.000001*4</f>
        <v>3.9999999999999998E-6</v>
      </c>
      <c r="C6" s="157" t="s">
        <v>106</v>
      </c>
      <c r="D6" s="89"/>
      <c r="E6" s="89"/>
    </row>
    <row r="7" spans="1:5" x14ac:dyDescent="0.2">
      <c r="A7" s="156" t="s">
        <v>136</v>
      </c>
      <c r="B7" s="229">
        <f>0.000001*4</f>
        <v>3.9999999999999998E-6</v>
      </c>
      <c r="C7" s="157" t="s">
        <v>106</v>
      </c>
      <c r="D7" s="89"/>
      <c r="E7" s="223"/>
    </row>
    <row r="8" spans="1:5" x14ac:dyDescent="0.2">
      <c r="A8" s="156" t="s">
        <v>137</v>
      </c>
      <c r="B8" s="175">
        <f>5*10^(-6)</f>
        <v>4.9999999999999996E-6</v>
      </c>
      <c r="C8" s="157" t="s">
        <v>106</v>
      </c>
      <c r="D8" s="89"/>
      <c r="E8" s="89"/>
    </row>
    <row r="9" spans="1:5" x14ac:dyDescent="0.2">
      <c r="A9" s="156" t="s">
        <v>138</v>
      </c>
      <c r="B9" s="230">
        <v>50</v>
      </c>
      <c r="C9" s="157" t="s">
        <v>127</v>
      </c>
      <c r="D9" s="89"/>
      <c r="E9" s="89"/>
    </row>
    <row r="10" spans="1:5" x14ac:dyDescent="0.2">
      <c r="A10" s="156" t="s">
        <v>139</v>
      </c>
      <c r="B10" s="229">
        <v>1E-8</v>
      </c>
      <c r="C10" s="157" t="s">
        <v>127</v>
      </c>
      <c r="D10" s="89"/>
      <c r="E10" s="89"/>
    </row>
    <row r="11" spans="1:5" x14ac:dyDescent="0.2">
      <c r="A11" s="156" t="s">
        <v>140</v>
      </c>
      <c r="B11" s="229">
        <v>1</v>
      </c>
      <c r="C11" s="157" t="s">
        <v>127</v>
      </c>
      <c r="D11" s="89"/>
      <c r="E11" s="223"/>
    </row>
    <row r="12" spans="1:5" x14ac:dyDescent="0.2">
      <c r="A12" s="156" t="s">
        <v>141</v>
      </c>
      <c r="B12" s="229">
        <v>1</v>
      </c>
      <c r="C12" s="157" t="s">
        <v>127</v>
      </c>
      <c r="D12" s="89"/>
      <c r="E12" s="89"/>
    </row>
    <row r="13" spans="1:5" ht="13.5" thickBot="1" x14ac:dyDescent="0.25">
      <c r="A13" s="173" t="s">
        <v>142</v>
      </c>
      <c r="B13" s="231">
        <f>4*24</f>
        <v>96</v>
      </c>
      <c r="C13" s="172" t="s">
        <v>127</v>
      </c>
      <c r="D13" s="89"/>
      <c r="E13" s="89"/>
    </row>
    <row r="14" spans="1:5" x14ac:dyDescent="0.2">
      <c r="A14" s="89"/>
      <c r="B14" s="89"/>
      <c r="C14" s="89"/>
      <c r="D14" s="89"/>
      <c r="E14" s="91"/>
    </row>
    <row r="18" spans="4:5" x14ac:dyDescent="0.2">
      <c r="D18" s="223"/>
      <c r="E18" s="223"/>
    </row>
    <row r="26" spans="4:5" x14ac:dyDescent="0.2">
      <c r="D26" s="89"/>
      <c r="E26" s="2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Chiel van Amstel</cp:lastModifiedBy>
  <cp:revision/>
  <dcterms:created xsi:type="dcterms:W3CDTF">2008-02-06T12:16:03Z</dcterms:created>
  <dcterms:modified xsi:type="dcterms:W3CDTF">2021-08-26T10:36:23Z</dcterms:modified>
  <cp:category/>
  <cp:contentStatus/>
</cp:coreProperties>
</file>