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C:\Users\2424069M\Documents\GitHub\IbM\planning\Excels\Templates\"/>
    </mc:Choice>
  </mc:AlternateContent>
  <xr:revisionPtr revIDLastSave="0" documentId="13_ncr:1_{FCD6D799-068C-496E-A04F-9E0F04D5BCA9}" xr6:coauthVersionLast="47" xr6:coauthVersionMax="47" xr10:uidLastSave="{00000000-0000-0000-0000-000000000000}"/>
  <bookViews>
    <workbookView xWindow="-108" yWindow="-108" windowWidth="23256" windowHeight="12576" tabRatio="808" activeTab="4" xr2:uid="{00000000-000D-0000-FFFF-FFFF00000000}"/>
  </bookViews>
  <sheets>
    <sheet name="Information" sheetId="30" r:id="rId1"/>
    <sheet name="Settings" sheetId="34" r:id="rId2"/>
    <sheet name="Discretization" sheetId="27" r:id="rId3"/>
    <sheet name="Parameters" sheetId="26" r:id="rId4"/>
    <sheet name="Bacteria" sheetId="25" r:id="rId5"/>
    <sheet name="Diffusion" sheetId="28" r:id="rId6"/>
    <sheet name="Solver" sheetId="29" r:id="rId7"/>
    <sheet name="Influent" sheetId="23" r:id="rId8"/>
    <sheet name="Initial condition" sheetId="22" r:id="rId9"/>
    <sheet name="ThermoParam" sheetId="24" r:id="rId10"/>
    <sheet name="Ks" sheetId="31" r:id="rId11"/>
    <sheet name="Ki" sheetId="32" r:id="rId12"/>
    <sheet name="Yield" sheetId="33" r:id="rId13"/>
    <sheet name="ReactionMatrix" sheetId="21"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 i="26" l="1"/>
  <c r="B8" i="27" l="1"/>
  <c r="B16" i="25"/>
  <c r="B4" i="22" l="1"/>
  <c r="B11" i="25"/>
  <c r="B1" i="28" l="1"/>
  <c r="B9" i="26" l="1"/>
  <c r="B13" i="27" l="1"/>
  <c r="B9" i="27"/>
  <c r="B4" i="23"/>
  <c r="C2" i="32"/>
  <c r="D6" i="32"/>
  <c r="B5" i="32"/>
  <c r="B4" i="32"/>
  <c r="B3" i="32"/>
  <c r="C6" i="31"/>
  <c r="B6" i="31"/>
  <c r="C4" i="31"/>
  <c r="D4" i="31"/>
  <c r="D5" i="31"/>
  <c r="C5" i="31"/>
  <c r="D3" i="31"/>
  <c r="C3" i="31"/>
  <c r="B2" i="31"/>
  <c r="D2" i="31"/>
  <c r="B2" i="22"/>
  <c r="B1" i="22"/>
  <c r="B14" i="27"/>
  <c r="B3" i="27"/>
  <c r="B7" i="25"/>
  <c r="B4" i="34" l="1"/>
  <c r="A4" i="34"/>
  <c r="B8" i="26" l="1"/>
  <c r="B1" i="23" l="1"/>
  <c r="B4" i="25" l="1"/>
  <c r="B3" i="25"/>
  <c r="B5" i="22"/>
  <c r="B7" i="22" s="1"/>
  <c r="B3" i="26"/>
  <c r="B1" i="25" l="1"/>
  <c r="B2" i="25" s="1"/>
  <c r="B7" i="27"/>
  <c r="B8" i="25"/>
  <c r="B6" i="34"/>
  <c r="A6" i="34"/>
  <c r="B3" i="34"/>
  <c r="B5" i="34"/>
  <c r="B7" i="34"/>
  <c r="B8" i="34"/>
  <c r="A8" i="34"/>
  <c r="A7" i="34"/>
  <c r="A5" i="34"/>
  <c r="A3" i="34"/>
  <c r="B2" i="34"/>
  <c r="A2" i="34"/>
  <c r="B1" i="34"/>
  <c r="A1" i="34"/>
  <c r="B17" i="24"/>
  <c r="D18" i="24"/>
  <c r="B13" i="24"/>
  <c r="B6" i="24"/>
  <c r="B14" i="24"/>
  <c r="B15" i="24"/>
  <c r="B16" i="24"/>
  <c r="B18" i="24"/>
  <c r="B19" i="24"/>
  <c r="B20" i="24"/>
  <c r="B21" i="24"/>
  <c r="B22" i="24"/>
  <c r="D14" i="24"/>
  <c r="E14" i="24"/>
  <c r="D15" i="24"/>
  <c r="E15" i="24"/>
  <c r="C16" i="24"/>
  <c r="D16" i="24"/>
  <c r="E16" i="24"/>
  <c r="E17" i="24"/>
  <c r="C19" i="24"/>
  <c r="D19" i="24"/>
  <c r="E19" i="24"/>
  <c r="C20" i="24"/>
  <c r="D20" i="24"/>
  <c r="E20" i="24"/>
  <c r="D21" i="24"/>
  <c r="E21" i="24"/>
  <c r="C22" i="24"/>
  <c r="D22" i="24"/>
  <c r="E22" i="24"/>
  <c r="D13" i="24"/>
  <c r="E13" i="24"/>
  <c r="B6" i="26"/>
  <c r="D17" i="24" s="1"/>
  <c r="D7" i="24"/>
  <c r="E7" i="24"/>
  <c r="E18" i="24" s="1"/>
  <c r="B4" i="27"/>
  <c r="C21" i="24" l="1"/>
  <c r="C17" i="24"/>
  <c r="C13" i="24"/>
  <c r="C15" i="24"/>
  <c r="C14" i="24"/>
  <c r="B6" i="33"/>
  <c r="B2" i="33"/>
  <c r="B7" i="28"/>
  <c r="B6" i="28"/>
  <c r="B5" i="28"/>
  <c r="B4" i="28"/>
  <c r="B3" i="28"/>
  <c r="B2" i="28"/>
  <c r="B19" i="27" l="1"/>
  <c r="B17" i="27"/>
  <c r="B11" i="27"/>
  <c r="B7" i="23" l="1"/>
  <c r="B6" i="22" l="1"/>
  <c r="B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Chiel</author>
    <author>tc={873F5D62-7A36-441D-909B-5D8DF0BCC1F4}</author>
  </authors>
  <commentList>
    <comment ref="B1" authorId="0" shapeId="0" xr:uid="{66D89453-499A-451B-9375-8FEE23DBC4F0}">
      <text>
        <r>
          <rPr>
            <b/>
            <sz val="9"/>
            <color indexed="81"/>
            <rFont val="Tahoma"/>
            <family val="2"/>
          </rPr>
          <t>Chiel:</t>
        </r>
        <r>
          <rPr>
            <sz val="9"/>
            <color indexed="81"/>
            <rFont val="Tahoma"/>
            <family val="2"/>
          </rPr>
          <t xml:space="preserve">
based on Poot et al (2016)</t>
        </r>
      </text>
    </comment>
    <comment ref="B11" authorId="1" shapeId="0" xr:uid="{873F5D62-7A36-441D-909B-5D8DF0BCC1F4}">
      <text>
        <t>[Threaded comment]
Your version of Excel allows you to read this threaded comment; however, any edits to it will get removed if the file is opened in a newer version of Excel. Learn more: https://go.microsoft.com/fwlink/?linkid=870924
Comment:
    Lemaire2008 -&gt; order of magnitude 30-80 g/L for synthetic feed, 150 g/L in their experiment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tc={AAB0138B-EC14-4FA4-84D5-32A8A09E2735}</author>
  </authors>
  <commentList>
    <comment ref="B7" authorId="0" shapeId="0" xr:uid="{AAB0138B-EC14-4FA4-84D5-32A8A09E2735}">
      <text>
        <t>[Threaded comment]
Your version of Excel allows you to read this threaded comment; however, any edits to it will get removed if the file is opened in a newer version of Excel. Learn more: https://go.microsoft.com/fwlink/?linkid=870924
Comment:
    From Poot2016. SI (Fig S2)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tc={39C3F1E7-313F-41C1-BEA1-5D4A070A352E}</author>
  </authors>
  <commentList>
    <comment ref="B1" authorId="0" shapeId="0" xr:uid="{39C3F1E7-313F-41C1-BEA1-5D4A070A352E}">
      <text>
        <t>[Threaded comment]
Your version of Excel allows you to read this threaded comment; however, any edits to it will get removed if the file is opened in a newer version of Excel. Learn more: https://go.microsoft.com/fwlink/?linkid=870924
Comment:
    70% of diffusion coefficient (aq). From Berg et al. (2020). How to measure diffusion coefficients in biofilms: A critical analysis.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Chiel</author>
  </authors>
  <commentList>
    <comment ref="B12" authorId="0" shapeId="0" xr:uid="{61A8F149-C15A-4E85-ADA2-378708A2716A}">
      <text>
        <r>
          <rPr>
            <b/>
            <sz val="9"/>
            <color indexed="81"/>
            <rFont val="Tahoma"/>
            <family val="2"/>
          </rPr>
          <t>Chiel:</t>
        </r>
        <r>
          <rPr>
            <sz val="9"/>
            <color indexed="81"/>
            <rFont val="Tahoma"/>
            <family val="2"/>
          </rPr>
          <t xml:space="preserve">
Equilibrium ratio of CO2(aq)/H2CO3. In literature often given as H2CO3/CO2(aq)</t>
        </r>
      </text>
    </comment>
    <comment ref="B17" authorId="0" shapeId="0" xr:uid="{0011C65B-9A7D-41B3-8BCE-75001A7243E1}">
      <text>
        <r>
          <rPr>
            <b/>
            <sz val="9"/>
            <color indexed="81"/>
            <rFont val="Tahoma"/>
            <family val="2"/>
          </rPr>
          <t>Chiel:</t>
        </r>
        <r>
          <rPr>
            <sz val="9"/>
            <color indexed="81"/>
            <rFont val="Tahoma"/>
            <family val="2"/>
          </rPr>
          <t xml:space="preserve">
manually adjusted, because not in same order of magnitude as literature</t>
        </r>
      </text>
    </comment>
    <comment ref="C18" authorId="0" shapeId="0" xr:uid="{70458961-4900-45B5-B8A8-96EAE4D2F89C}">
      <text>
        <r>
          <rPr>
            <b/>
            <sz val="9"/>
            <color indexed="81"/>
            <rFont val="Tahoma"/>
            <family val="2"/>
          </rPr>
          <t>Chiel:</t>
        </r>
        <r>
          <rPr>
            <sz val="9"/>
            <color indexed="81"/>
            <rFont val="Tahoma"/>
            <family val="2"/>
          </rPr>
          <t xml:space="preserve">
Manually adjust to conform with literature.
Completely dissociates, thus value of 100 taken.</t>
        </r>
      </text>
    </comment>
    <comment ref="D18" authorId="0" shapeId="0" xr:uid="{177CC48F-EB57-4F75-A08A-B1631E04F45D}">
      <text>
        <r>
          <rPr>
            <b/>
            <sz val="9"/>
            <color indexed="81"/>
            <rFont val="Tahoma"/>
            <family val="2"/>
          </rPr>
          <t>Chiel:</t>
        </r>
        <r>
          <rPr>
            <sz val="9"/>
            <color indexed="81"/>
            <rFont val="Tahoma"/>
            <family val="2"/>
          </rPr>
          <t xml:space="preserve">
manually adjusted to be in same order of magnitude as literature
see: https://pubchem.ncbi.nlm.nih.gov/compound/Sulfuric-acid#section=Structures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tc={FAFA8C7C-6800-4018-947D-B9F524B630BA}</author>
  </authors>
  <commentList>
    <comment ref="B6" authorId="0" shapeId="0" xr:uid="{FAFA8C7C-6800-4018-947D-B9F524B630BA}">
      <text>
        <t>[Threaded comment]
Your version of Excel allows you to read this threaded comment; however, any edits to it will get removed if the file is opened in a newer version of Excel. Learn more: https://go.microsoft.com/fwlink/?linkid=870924
Comment:
    From [Strous1998]</t>
      </text>
    </comment>
  </commentList>
</comments>
</file>

<file path=xl/sharedStrings.xml><?xml version="1.0" encoding="utf-8"?>
<sst xmlns="http://schemas.openxmlformats.org/spreadsheetml/2006/main" count="470" uniqueCount="226">
  <si>
    <t>g</t>
  </si>
  <si>
    <t>C</t>
  </si>
  <si>
    <t>H</t>
  </si>
  <si>
    <t>N</t>
  </si>
  <si>
    <t>Temperature</t>
  </si>
  <si>
    <t>K</t>
  </si>
  <si>
    <t>eD</t>
  </si>
  <si>
    <t>AOB</t>
  </si>
  <si>
    <t>NH3</t>
  </si>
  <si>
    <t>NO2</t>
  </si>
  <si>
    <t>AMX</t>
  </si>
  <si>
    <t>Cat</t>
  </si>
  <si>
    <t>Anab</t>
  </si>
  <si>
    <t>Decay</t>
  </si>
  <si>
    <t>NO3</t>
  </si>
  <si>
    <t>O2</t>
  </si>
  <si>
    <t>CO2</t>
  </si>
  <si>
    <t>SO4</t>
  </si>
  <si>
    <t>Na</t>
  </si>
  <si>
    <t>gN2</t>
  </si>
  <si>
    <t>H2O</t>
  </si>
  <si>
    <t>mol/L</t>
  </si>
  <si>
    <t>L</t>
  </si>
  <si>
    <t>G</t>
  </si>
  <si>
    <t>D</t>
  </si>
  <si>
    <t>FORMS</t>
  </si>
  <si>
    <t>Inf</t>
  </si>
  <si>
    <t>NA</t>
  </si>
  <si>
    <t>m</t>
  </si>
  <si>
    <t>g/m3</t>
  </si>
  <si>
    <t>g/mol</t>
  </si>
  <si>
    <t>-</t>
  </si>
  <si>
    <t>m3</t>
  </si>
  <si>
    <t>HRT</t>
  </si>
  <si>
    <t>h</t>
  </si>
  <si>
    <t>nx</t>
  </si>
  <si>
    <t>ny</t>
  </si>
  <si>
    <t>maxx</t>
  </si>
  <si>
    <t>maxy</t>
  </si>
  <si>
    <t>dx</t>
  </si>
  <si>
    <t>dy</t>
  </si>
  <si>
    <t>dz</t>
  </si>
  <si>
    <t>m2/h</t>
  </si>
  <si>
    <t>Simulation description</t>
  </si>
  <si>
    <t>Goal</t>
  </si>
  <si>
    <t>Simulation name</t>
  </si>
  <si>
    <t>Neut</t>
  </si>
  <si>
    <t>[NH3]sp=20mM</t>
  </si>
  <si>
    <t>AOB/NOB system</t>
  </si>
  <si>
    <t>T=20C, pH=7.7</t>
  </si>
  <si>
    <t>[O2]=6mg/L</t>
  </si>
  <si>
    <t>kDist</t>
  </si>
  <si>
    <t>CMX flexibility</t>
  </si>
  <si>
    <t>Boundary layer thickness</t>
  </si>
  <si>
    <t>μm</t>
  </si>
  <si>
    <t>CALCULATED domain size in the x direction</t>
  </si>
  <si>
    <t>CALCULATED domain size in the y direction</t>
  </si>
  <si>
    <t>Gridcell size in the x direction</t>
  </si>
  <si>
    <t>Gridcell size in the y direction</t>
  </si>
  <si>
    <t>Gridcell size in the z direction</t>
  </si>
  <si>
    <t>Size of the boundary layer between bacteria and the bulk liquid</t>
  </si>
  <si>
    <t>Number of gridcells in the x direction. Ideally should be 2n + 1</t>
  </si>
  <si>
    <t>Number of gridcells in the y direction. Ideally should be 2n + 1</t>
  </si>
  <si>
    <t>Final time of the simulation before it will stop</t>
  </si>
  <si>
    <t>dT save</t>
  </si>
  <si>
    <t>dT backup</t>
  </si>
  <si>
    <t>Time (in simulation) between saving</t>
  </si>
  <si>
    <t>Time (in simulation) between making back ups</t>
  </si>
  <si>
    <t>SPACIAL DISCRETIZATION</t>
  </si>
  <si>
    <t>TEMPORAL DISCRETIZATION</t>
  </si>
  <si>
    <t>Simulation end</t>
  </si>
  <si>
    <t>Minimum Neumann stability coeff.</t>
  </si>
  <si>
    <t>Maximum Neumann stability coeff.</t>
  </si>
  <si>
    <t>Initial Neumann stability coeff.</t>
  </si>
  <si>
    <t>Minimum dT diffusion</t>
  </si>
  <si>
    <t>Maximum dT diffusion</t>
  </si>
  <si>
    <t>Initial dT diffusion</t>
  </si>
  <si>
    <t>Minimum Neumann stability coefficient for the diffusion timestep</t>
  </si>
  <si>
    <t>CALCULATED Minimum diffusion timestep</t>
  </si>
  <si>
    <t>Initial Neumann stability coefficient for the diffusion timestep</t>
  </si>
  <si>
    <t>CALCULATED Maximum diffusion timestep</t>
  </si>
  <si>
    <t>CALCULATED Initial diffusion timestep</t>
  </si>
  <si>
    <t>Minimum dT bacteria</t>
  </si>
  <si>
    <t>Maximum dT bacteria</t>
  </si>
  <si>
    <t>Initial dT bacteria</t>
  </si>
  <si>
    <t>Initial timestep for bacterial activity</t>
  </si>
  <si>
    <t>Minimum bacterial timestep</t>
  </si>
  <si>
    <t>Maximum bacterial timestep</t>
  </si>
  <si>
    <t>Dynamic dT</t>
  </si>
  <si>
    <t>Apply dynamic timestepping in the simulation. When true, fill in values below</t>
  </si>
  <si>
    <t>nIterThreshold</t>
  </si>
  <si>
    <t>iterThresholdDecrease</t>
  </si>
  <si>
    <t>iterThresholdIncrease</t>
  </si>
  <si>
    <t>nIters per cycle</t>
  </si>
  <si>
    <t>tolerance no-convergence</t>
  </si>
  <si>
    <t>maximum relative bulk conc change</t>
  </si>
  <si>
    <t>Number of steady state cycles before dT (diffusion &amp; bacterial) can change again. Default: 3</t>
  </si>
  <si>
    <t>Number of diffusion iterations before checking for non-convergence and potential decrease of dT for diffusion. Default: 500</t>
  </si>
  <si>
    <t>Threshold for the number of diffusion iterations in a steady state cycle before dT diffusion should be decreased. Default: 200</t>
  </si>
  <si>
    <t>Threshold for the number of diffusion iterations in a steady state cycle before dT diffusion should be increased. Default: 40</t>
  </si>
  <si>
    <t>initial RES threshold increase</t>
  </si>
  <si>
    <t>Maximum relative change in bulk concentration, below which the dT bacterial is decreased. Default: 2%</t>
  </si>
  <si>
    <t>DYNAMIC TIMESTEPPING</t>
  </si>
  <si>
    <t>Gas constant</t>
  </si>
  <si>
    <t>Representative volume</t>
  </si>
  <si>
    <t>pH setpoint</t>
  </si>
  <si>
    <t>Variable HRT</t>
  </si>
  <si>
    <t xml:space="preserve">Setpoint of ammonium below which the </t>
  </si>
  <si>
    <t>Simulate a variable HRT based on the bulk liquid concentration of one specific compound. If true, set values below.</t>
  </si>
  <si>
    <t>Setpoint</t>
  </si>
  <si>
    <t>Compound setpoint</t>
  </si>
  <si>
    <t>Temperature of the reactor</t>
  </si>
  <si>
    <t>Hydroly Retention Time</t>
  </si>
  <si>
    <t>pH value at which to control the bulk liquid</t>
  </si>
  <si>
    <t>Diffusivity</t>
  </si>
  <si>
    <t>Make sure that all compounds are in the same order and have the same name as in the rest of the Excel file</t>
  </si>
  <si>
    <t>pH solver tolerance</t>
  </si>
  <si>
    <t>Maximum mass bacterium</t>
  </si>
  <si>
    <t>Minimum mass bacterium</t>
  </si>
  <si>
    <t>Maximum radius bacterium</t>
  </si>
  <si>
    <t>Density bacterium</t>
  </si>
  <si>
    <t>Molecular weight bacterium</t>
  </si>
  <si>
    <t>Maximum granule radius</t>
  </si>
  <si>
    <t>Starting granule radius</t>
  </si>
  <si>
    <t>Maximum nBacteria</t>
  </si>
  <si>
    <t>CALCULATED Maximum mass per bacterium before division is enforced</t>
  </si>
  <si>
    <t>CALCULATED Minimum mass per bacterium before it is either inactivated or dies</t>
  </si>
  <si>
    <t>Maximum bacterial radius before division is enforced</t>
  </si>
  <si>
    <t>Density of a bacterium</t>
  </si>
  <si>
    <t>Molecular weight of a bacterium</t>
  </si>
  <si>
    <t>Maximum granule radius (in the IbM this value is checked against the domain size). If no maximum radius is to be set, set detachment method to 'none'.</t>
  </si>
  <si>
    <t>Radius of the starting granule</t>
  </si>
  <si>
    <t>Maximum number of bacterium in the domain</t>
  </si>
  <si>
    <t>Distance factor that is enforced between neighbouring bacteria, to enforce realistic bacterial density values</t>
  </si>
  <si>
    <t>Inactivation enabled</t>
  </si>
  <si>
    <t>When bacteria reach a mass below the minimum threshold, are they inactivated (TRUE) or are they removed/dead (FALSE)</t>
  </si>
  <si>
    <t>Detachment method</t>
  </si>
  <si>
    <t>Detachment constant</t>
  </si>
  <si>
    <t>1/m2.h</t>
  </si>
  <si>
    <t>Select the method of detachment</t>
  </si>
  <si>
    <t>Detachment constant to control the rate of detachment</t>
  </si>
  <si>
    <t>Steady state RES threshold</t>
  </si>
  <si>
    <t>RES determination method</t>
  </si>
  <si>
    <t>max</t>
  </si>
  <si>
    <t>nIters diffusion per SS check</t>
  </si>
  <si>
    <t>Number of diffusion iterations per check for steady state</t>
  </si>
  <si>
    <t>Method of determining the RES value. Default: max</t>
  </si>
  <si>
    <t>Concentration tolerance</t>
  </si>
  <si>
    <t>Absolute concentration that is below the resolution of the model. Default: 1e-6 mol/L</t>
  </si>
  <si>
    <t>Initialisation method</t>
  </si>
  <si>
    <t>granule</t>
  </si>
  <si>
    <t>pH solving included</t>
  </si>
  <si>
    <t>Tolerance for the residual of charges in the determination of the pH. Default: 1e-15</t>
  </si>
  <si>
    <t xml:space="preserve">Include a variable pH </t>
  </si>
  <si>
    <t>Speciation included</t>
  </si>
  <si>
    <t>Diffusion tolerance</t>
  </si>
  <si>
    <t>How far can the diffusion solution from the Multigrid method differ from the solution (norm of difference between solution and real solution). Default: 1e-8</t>
  </si>
  <si>
    <t>Parallelisation</t>
  </si>
  <si>
    <t>Does the model need to run on all available cores. Default: false, but switches to parallel computing if above the threshold where it would speed up computation.</t>
  </si>
  <si>
    <t>Set the initial conditions within the initial granule/microcolonies. Again: make sure that all compounds are matching in names and order with all other excel tabs.</t>
  </si>
  <si>
    <t>Set the influent concentrations and whether it should be treated as a Neumann boundary condition (N) or Dirichlet boundary condition (D). Make sure that all compounds match in name and order with all other excel tabs.</t>
  </si>
  <si>
    <t>Fully protonated</t>
  </si>
  <si>
    <t>First deprotonation</t>
  </si>
  <si>
    <t>Second deprotonation</t>
  </si>
  <si>
    <t>Third deprotonation</t>
  </si>
  <si>
    <t>Gaseous equivalent</t>
  </si>
  <si>
    <t>Charge per compound</t>
  </si>
  <si>
    <t>Kd</t>
  </si>
  <si>
    <t>Ka1</t>
  </si>
  <si>
    <t>Ka2</t>
  </si>
  <si>
    <t>Ka3</t>
  </si>
  <si>
    <t>CALCULATED Temperature in Kelvin</t>
  </si>
  <si>
    <t>Temperature (K)</t>
  </si>
  <si>
    <t>kJ/(mol.K)</t>
  </si>
  <si>
    <t>Maintenance</t>
  </si>
  <si>
    <t>Max growth rate</t>
  </si>
  <si>
    <t>Yield C/N</t>
  </si>
  <si>
    <t>Add columns with per bacterial species the Ki values per substrate. Make sure that the compound and bacterium names match the rest of the Excel file</t>
  </si>
  <si>
    <t>Add columns with per bacterial species the Ks values per substrate. Make sure that the compound and bacterium names match the rest of the Excel file</t>
  </si>
  <si>
    <t>Preferred subspecies</t>
  </si>
  <si>
    <t>Fill in the delta G of formation for each subspecies. These values are used to calculate the equilibrium constants (see below). On the right side, the preferred subspecies can be denoted by the index (from left to right).</t>
  </si>
  <si>
    <t>CALCULATED equilibrium constants, based on the delta G of formation values. If the values differ greatly from literature values, then manually change them (see orange cells).</t>
  </si>
  <si>
    <t>Fill in the charge per subcomponent. If subcomponent does not exist, fill in 'NA'</t>
  </si>
  <si>
    <t>pH bulk concentration corrected</t>
  </si>
  <si>
    <t>Does the bulk liquid need to have the pH from the setpoint</t>
  </si>
  <si>
    <t>Structure model type</t>
  </si>
  <si>
    <t>Structure model</t>
  </si>
  <si>
    <t>Is this a model for structure simulations (has some hardcoded properties in the model)</t>
  </si>
  <si>
    <t xml:space="preserve">Which of the structure model simulations is this? Neut: Neutralism, Comp: Competition, Comm: Commensalism, Copr: Coprotection </t>
  </si>
  <si>
    <t>Calculate subspecies compound using the equilibrium constants calculated from dG values. If pH solving is included, then this value is always set to TRUE.</t>
  </si>
  <si>
    <t>This is a summary of all settings in the model. Do not change them here, but in the respective tab.</t>
  </si>
  <si>
    <t>Compound name for which the concentration should be below given threshold (i.e. Setpoint). Make sure this name matches the compound name in rest of the Excel file</t>
  </si>
  <si>
    <t>How to use this Excel sheet</t>
  </si>
  <si>
    <t>All values in this file are loaded into the IbM model using the loadPresetFile function. Make sure that all values are filled in correctly, so that the model makes sense.</t>
  </si>
  <si>
    <t>There are a few different types of cells in this Excel, here is a legend:</t>
  </si>
  <si>
    <t>Cells that look like this, contain calculated values, don't change these.</t>
  </si>
  <si>
    <t>This cell contains the name of the variable/short description</t>
  </si>
  <si>
    <t>This cell contains a value that has been manually adjusted (Make sure to mark these cells yourself, so that it is clear later on which values are changed from the standard calculation/value)</t>
  </si>
  <si>
    <t>Fill in all cells that look like this</t>
  </si>
  <si>
    <t>Due to some setting, some cells no longer need to be filled in. If that is the case, those cells look like this</t>
  </si>
  <si>
    <t>This cell contains the units of the value that should be filled in. Don’t change the contents of these cells, but rather make sure that the filled in value is in these units</t>
  </si>
  <si>
    <t>Starting number of bacteria (granule)</t>
  </si>
  <si>
    <t>CALCULATED: approximated number of bacteria in the starting granule, based on optimal packing of bacteria in circle. Will be slightly lower in reality</t>
  </si>
  <si>
    <t>Fill in the yields &amp; electron donor molecules for each species. If the maintenance and growth rate are to be set, fill them in as well. If these are to be calculated on the fly, leave blank or fill in 'NA'. The formula for the maintenance and growth rate should manually be added to the calculate_max_growth_rate_and_maint.m script</t>
  </si>
  <si>
    <t>CALCULATED Representative volume of the reactor that is modelled in the simulation domain. Calculated using the average expected granule radius and the density of biomass in the reactor and the density per granule</t>
  </si>
  <si>
    <t>Average expected granule radius</t>
  </si>
  <si>
    <t>Average expected radius of all granules</t>
  </si>
  <si>
    <t>density granule</t>
  </si>
  <si>
    <t>g/L</t>
  </si>
  <si>
    <t>How dense are the granules</t>
  </si>
  <si>
    <t>density reactor</t>
  </si>
  <si>
    <t>How much biomass (at most) is in the reactor</t>
  </si>
  <si>
    <t>Starting bio-aggregate in the system (mature granule =&gt; AMX in center of granule)</t>
  </si>
  <si>
    <t>Starting number of microcolonies (suspension)</t>
  </si>
  <si>
    <t>Suspension: how many microcolonies start in the suspension</t>
  </si>
  <si>
    <t>Starting number of bacteria per microcolony (suspension)</t>
  </si>
  <si>
    <t>Suspension: how many bacteria start in the suspension per microcolony</t>
  </si>
  <si>
    <t>Absolute difference between consecutive maximum RES values below which system is considered non-convergent. Default: 1e-10</t>
  </si>
  <si>
    <t>mol/L/h</t>
  </si>
  <si>
    <t>Residual value of the diffusion equation below which steady state can be assumed. Default: 0.005 mol/L/h</t>
  </si>
  <si>
    <t>Threshold for the initial RES value that needs to be reached for increase of dT bacterial. Default: 0.2 mol/L/h</t>
  </si>
  <si>
    <t>Maximum Neumann stability coefficient for the diffusion timestep. Default: 0.5</t>
  </si>
  <si>
    <t>mechanistic</t>
  </si>
  <si>
    <t>Nitrobacter</t>
  </si>
  <si>
    <t>Nitrospira</t>
  </si>
  <si>
    <t>Nitrotoga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</si>
</sst>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 &quot;pta&quot;_-;\-* #,##0\ &quot;pta&quot;_-;_-* &quot;-&quot;\ &quot;pta&quot;_-;_-@_-"/>
    <numFmt numFmtId="166" formatCode="_-* #,##0\ _p_t_a_-;\-* #,##0\ _p_t_a_-;_-* &quot;-&quot;\ _p_t_a_-;_-@_-"/>
    <numFmt numFmtId="167" formatCode="_-* #,##0.00\ &quot;pta&quot;_-;\-* #,##0.00\ &quot;pta&quot;_-;_-* &quot;-&quot;??\ &quot;pta&quot;_-;_-@_-"/>
    <numFmt numFmtId="168" formatCode="_-* #,##0.00\ _p_t_a_-;\-* #,##0.00\ _p_t_a_-;_-* &quot;-&quot;??\ _p_t_a_-;_-@_-"/>
    <numFmt numFmtId="169" formatCode="0.0"/>
    <numFmt numFmtId="170" formatCode="0.000E+00"/>
  </numFmts>
  <fonts count="21" x14ac:knownFonts="1">
    <font>
      <sz val="10"/>
      <name val="Arial"/>
    </font>
    <font>
      <sz val="11"/>
      <color theme="1"/>
      <name val="Calibri"/>
      <family val="2"/>
      <scheme val="minor"/>
    </font>
    <font>
      <sz val="10"/>
      <name val="Arial"/>
      <family val="2"/>
    </font>
    <font>
      <sz val="10"/>
      <name val="Arial"/>
      <family val="2"/>
    </font>
    <font>
      <b/>
      <sz val="10"/>
      <name val="Arial"/>
      <family val="2"/>
    </font>
    <font>
      <b/>
      <i/>
      <sz val="10"/>
      <name val="Arial"/>
      <family val="2"/>
    </font>
    <font>
      <sz val="10"/>
      <color rgb="FFFF0000"/>
      <name val="Arial"/>
      <family val="2"/>
    </font>
    <font>
      <u/>
      <sz val="10"/>
      <name val="Arial"/>
      <family val="2"/>
    </font>
    <font>
      <sz val="10"/>
      <name val="Arial"/>
      <family val="2"/>
    </font>
    <font>
      <i/>
      <sz val="10"/>
      <color theme="0" tint="-0.34998626667073579"/>
      <name val="Arial"/>
      <family val="2"/>
    </font>
    <font>
      <sz val="11"/>
      <name val="Times New Roman"/>
      <family val="1"/>
    </font>
    <font>
      <b/>
      <sz val="10"/>
      <name val="Times New Roman"/>
      <family val="1"/>
    </font>
    <font>
      <b/>
      <i/>
      <sz val="10"/>
      <color theme="0" tint="-0.499984740745262"/>
      <name val="Arial"/>
      <family val="2"/>
    </font>
    <font>
      <sz val="10"/>
      <name val="Arial"/>
      <family val="2"/>
    </font>
    <font>
      <sz val="11"/>
      <color rgb="FFFF0000"/>
      <name val="Calibri"/>
      <family val="2"/>
      <scheme val="minor"/>
    </font>
    <font>
      <i/>
      <sz val="11"/>
      <color rgb="FF7F7F7F"/>
      <name val="Calibri"/>
      <family val="2"/>
      <scheme val="minor"/>
    </font>
    <font>
      <sz val="9"/>
      <color indexed="81"/>
      <name val="Tahoma"/>
      <family val="2"/>
    </font>
    <font>
      <b/>
      <sz val="9"/>
      <color indexed="81"/>
      <name val="Tahoma"/>
      <family val="2"/>
    </font>
    <font>
      <sz val="8"/>
      <name val="Arial"/>
      <family val="2"/>
    </font>
    <font>
      <sz val="10"/>
      <color rgb="FF3F3F76"/>
      <name val="Arial"/>
      <family val="2"/>
    </font>
    <font>
      <b/>
      <u/>
      <sz val="16"/>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9" tint="0.39997558519241921"/>
        <bgColor indexed="64"/>
      </patternFill>
    </fill>
  </fills>
  <borders count="70">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right/>
      <top style="thin">
        <color indexed="64"/>
      </top>
      <bottom style="thin">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style="medium">
        <color indexed="64"/>
      </bottom>
      <diagonal/>
    </border>
    <border>
      <left style="thin">
        <color rgb="FFB2B2B2"/>
      </left>
      <right style="thin">
        <color rgb="FFB2B2B2"/>
      </right>
      <top style="medium">
        <color indexed="64"/>
      </top>
      <bottom style="thin">
        <color rgb="FFB2B2B2"/>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rgb="FFB2B2B2"/>
      </left>
      <right style="thin">
        <color rgb="FFB2B2B2"/>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rgb="FFB2B2B2"/>
      </left>
      <right style="thin">
        <color rgb="FFB2B2B2"/>
      </right>
      <top/>
      <bottom style="thin">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diagonal/>
    </border>
    <border>
      <left style="medium">
        <color indexed="64"/>
      </left>
      <right style="medium">
        <color indexed="64"/>
      </right>
      <top style="thin">
        <color indexed="64"/>
      </top>
      <bottom/>
      <diagonal/>
    </border>
    <border>
      <left style="thin">
        <color rgb="FFB2B2B2"/>
      </left>
      <right style="thin">
        <color rgb="FFB2B2B2"/>
      </right>
      <top style="thin">
        <color indexed="64"/>
      </top>
      <bottom style="thin">
        <color rgb="FFB2B2B2"/>
      </bottom>
      <diagonal/>
    </border>
    <border>
      <left style="medium">
        <color indexed="64"/>
      </left>
      <right style="medium">
        <color indexed="64"/>
      </right>
      <top/>
      <bottom style="thin">
        <color rgb="FFB2B2B2"/>
      </bottom>
      <diagonal/>
    </border>
    <border>
      <left style="medium">
        <color indexed="64"/>
      </left>
      <right style="medium">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rgb="FFB2B2B2"/>
      </top>
      <bottom style="thin">
        <color rgb="FFB2B2B2"/>
      </bottom>
      <diagonal/>
    </border>
    <border>
      <left style="medium">
        <color indexed="64"/>
      </left>
      <right style="thin">
        <color indexed="64"/>
      </right>
      <top style="thin">
        <color rgb="FFB2B2B2"/>
      </top>
      <bottom style="thin">
        <color indexed="64"/>
      </bottom>
      <diagonal/>
    </border>
    <border>
      <left style="medium">
        <color indexed="64"/>
      </left>
      <right style="thin">
        <color indexed="64"/>
      </right>
      <top style="thin">
        <color indexed="64"/>
      </top>
      <bottom style="thin">
        <color rgb="FFB2B2B2"/>
      </bottom>
      <diagonal/>
    </border>
    <border>
      <left style="medium">
        <color indexed="64"/>
      </left>
      <right/>
      <top style="medium">
        <color indexed="64"/>
      </top>
      <bottom style="medium">
        <color indexed="64"/>
      </bottom>
      <diagonal/>
    </border>
    <border>
      <left style="thin">
        <color rgb="FFB2B2B2"/>
      </left>
      <right style="thin">
        <color rgb="FFB2B2B2"/>
      </right>
      <top style="thin">
        <color rgb="FFB2B2B2"/>
      </top>
      <bottom/>
      <diagonal/>
    </border>
    <border>
      <left style="thin">
        <color rgb="FFB2B2B2"/>
      </left>
      <right style="medium">
        <color indexed="64"/>
      </right>
      <top style="thin">
        <color indexed="64"/>
      </top>
      <bottom style="thin">
        <color indexed="64"/>
      </bottom>
      <diagonal/>
    </border>
    <border>
      <left style="medium">
        <color indexed="64"/>
      </left>
      <right style="thin">
        <color rgb="FFB2B2B2"/>
      </right>
      <top style="thin">
        <color indexed="64"/>
      </top>
      <bottom style="thin">
        <color indexed="64"/>
      </bottom>
      <diagonal/>
    </border>
    <border>
      <left style="medium">
        <color indexed="64"/>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medium">
        <color indexed="64"/>
      </left>
      <right style="thin">
        <color rgb="FFB2B2B2"/>
      </right>
      <top/>
      <bottom style="thin">
        <color indexed="64"/>
      </bottom>
      <diagonal/>
    </border>
    <border>
      <left style="medium">
        <color indexed="64"/>
      </left>
      <right style="thin">
        <color indexed="64"/>
      </right>
      <top/>
      <bottom style="thin">
        <color rgb="FFB2B2B2"/>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diagonal/>
    </border>
    <border>
      <left style="thin">
        <color rgb="FFB2B2B2"/>
      </left>
      <right style="medium">
        <color indexed="64"/>
      </right>
      <top style="thin">
        <color rgb="FFB2B2B2"/>
      </top>
      <bottom/>
      <diagonal/>
    </border>
    <border>
      <left style="medium">
        <color indexed="64"/>
      </left>
      <right style="thin">
        <color rgb="FFB2B2B2"/>
      </right>
      <top/>
      <bottom style="thin">
        <color rgb="FFB2B2B2"/>
      </bottom>
      <diagonal/>
    </border>
    <border>
      <left style="thin">
        <color rgb="FFB2B2B2"/>
      </left>
      <right style="medium">
        <color indexed="64"/>
      </right>
      <top/>
      <bottom style="thin">
        <color rgb="FFB2B2B2"/>
      </bottom>
      <diagonal/>
    </border>
    <border>
      <left style="thin">
        <color rgb="FFB2B2B2"/>
      </left>
      <right style="medium">
        <color indexed="64"/>
      </right>
      <top style="thin">
        <color rgb="FFB2B2B2"/>
      </top>
      <bottom style="medium">
        <color indexed="64"/>
      </bottom>
      <diagonal/>
    </border>
    <border>
      <left style="thin">
        <color rgb="FFB2B2B2"/>
      </left>
      <right style="medium">
        <color indexed="64"/>
      </right>
      <top/>
      <bottom/>
      <diagonal/>
    </border>
    <border>
      <left style="thin">
        <color indexed="64"/>
      </left>
      <right style="medium">
        <color indexed="64"/>
      </right>
      <top/>
      <bottom style="thin">
        <color indexed="64"/>
      </bottom>
      <diagonal/>
    </border>
    <border>
      <left/>
      <right style="thin">
        <color rgb="FFB2B2B2"/>
      </right>
      <top/>
      <bottom style="thin">
        <color indexed="64"/>
      </bottom>
      <diagonal/>
    </border>
  </borders>
  <cellStyleXfs count="12">
    <xf numFmtId="0" fontId="0" fillId="0" borderId="0"/>
    <xf numFmtId="164"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0" fontId="2" fillId="0" borderId="0"/>
    <xf numFmtId="0" fontId="1" fillId="0" borderId="0"/>
    <xf numFmtId="9" fontId="13" fillId="0" borderId="0" applyFont="0" applyFill="0" applyBorder="0" applyAlignment="0" applyProtection="0"/>
    <xf numFmtId="0" fontId="14" fillId="0" borderId="0" applyNumberFormat="0" applyFill="0" applyBorder="0" applyAlignment="0" applyProtection="0"/>
    <xf numFmtId="0" fontId="13" fillId="4" borderId="23" applyNumberFormat="0" applyFont="0" applyAlignment="0" applyProtection="0"/>
    <xf numFmtId="0" fontId="15" fillId="0" borderId="0" applyNumberFormat="0" applyFill="0" applyBorder="0" applyAlignment="0" applyProtection="0"/>
  </cellStyleXfs>
  <cellXfs count="180">
    <xf numFmtId="0" fontId="0" fillId="0" borderId="0" xfId="0"/>
    <xf numFmtId="0" fontId="3" fillId="0" borderId="0" xfId="0" applyFont="1"/>
    <xf numFmtId="0" fontId="6" fillId="0" borderId="0" xfId="0" applyFont="1"/>
    <xf numFmtId="0" fontId="8" fillId="0" borderId="0" xfId="0" applyFont="1"/>
    <xf numFmtId="0" fontId="2" fillId="0" borderId="0" xfId="0" applyFont="1"/>
    <xf numFmtId="0" fontId="7" fillId="0" borderId="0" xfId="0" applyFont="1"/>
    <xf numFmtId="0" fontId="11" fillId="0" borderId="0" xfId="0" applyFont="1" applyAlignment="1">
      <alignment horizontal="center" vertical="center"/>
    </xf>
    <xf numFmtId="0" fontId="5" fillId="0" borderId="0" xfId="0" applyFont="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10" fillId="0" borderId="0" xfId="0" applyFont="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9" fillId="0" borderId="5" xfId="0" applyFont="1" applyBorder="1" applyAlignment="1">
      <alignment horizontal="center" vertical="center"/>
    </xf>
    <xf numFmtId="0" fontId="9" fillId="0" borderId="7" xfId="0" applyFont="1" applyBorder="1" applyAlignment="1">
      <alignment horizontal="center" vertical="center"/>
    </xf>
    <xf numFmtId="0" fontId="9" fillId="0" borderId="6" xfId="0" applyFont="1" applyBorder="1" applyAlignment="1">
      <alignment horizontal="center" vertical="center"/>
    </xf>
    <xf numFmtId="0" fontId="5" fillId="0" borderId="22" xfId="0" applyFont="1" applyBorder="1" applyAlignment="1">
      <alignment horizontal="center" vertical="center"/>
    </xf>
    <xf numFmtId="11" fontId="2" fillId="0" borderId="0" xfId="0" applyNumberFormat="1" applyFont="1"/>
    <xf numFmtId="0" fontId="4" fillId="0" borderId="0" xfId="0" applyFont="1"/>
    <xf numFmtId="0" fontId="4" fillId="0" borderId="0" xfId="0" applyFont="1" applyAlignment="1">
      <alignment horizontal="center"/>
    </xf>
    <xf numFmtId="0" fontId="0" fillId="4" borderId="23" xfId="10" applyFont="1" applyAlignment="1">
      <alignment horizontal="center"/>
    </xf>
    <xf numFmtId="11" fontId="15" fillId="0" borderId="10" xfId="11" applyNumberFormat="1" applyBorder="1" applyAlignment="1">
      <alignment horizontal="center" vertical="center"/>
    </xf>
    <xf numFmtId="2" fontId="15" fillId="0" borderId="10" xfId="11" applyNumberFormat="1" applyBorder="1" applyAlignment="1">
      <alignment horizontal="center" vertical="center"/>
    </xf>
    <xf numFmtId="0" fontId="2" fillId="4" borderId="24" xfId="10" applyFont="1" applyBorder="1" applyAlignment="1">
      <alignment horizontal="center" vertical="center"/>
    </xf>
    <xf numFmtId="0" fontId="0" fillId="4" borderId="25" xfId="10" applyFont="1" applyBorder="1" applyAlignment="1">
      <alignment horizontal="center"/>
    </xf>
    <xf numFmtId="0" fontId="2" fillId="4" borderId="25" xfId="10" applyFont="1" applyBorder="1" applyAlignment="1">
      <alignment horizontal="center" vertical="center"/>
    </xf>
    <xf numFmtId="11" fontId="2" fillId="4" borderId="23" xfId="10" applyNumberFormat="1" applyFont="1" applyBorder="1" applyAlignment="1">
      <alignment horizontal="center" vertical="center"/>
    </xf>
    <xf numFmtId="11" fontId="0" fillId="4" borderId="26" xfId="10" applyNumberFormat="1" applyFont="1" applyBorder="1" applyAlignment="1">
      <alignment horizontal="center" vertical="center"/>
    </xf>
    <xf numFmtId="0" fontId="2" fillId="4" borderId="27" xfId="10" applyFont="1" applyBorder="1" applyAlignment="1">
      <alignment horizontal="center" vertical="center"/>
    </xf>
    <xf numFmtId="0" fontId="2" fillId="4" borderId="23" xfId="10" applyNumberFormat="1" applyFont="1" applyBorder="1" applyAlignment="1">
      <alignment horizontal="center" vertical="center"/>
    </xf>
    <xf numFmtId="0" fontId="5" fillId="3" borderId="29" xfId="0" applyFont="1" applyFill="1" applyBorder="1" applyAlignment="1">
      <alignment horizontal="center" vertical="center"/>
    </xf>
    <xf numFmtId="0" fontId="5" fillId="3" borderId="33" xfId="0" applyFont="1" applyFill="1" applyBorder="1" applyAlignment="1">
      <alignment horizontal="center" vertical="center"/>
    </xf>
    <xf numFmtId="0" fontId="2" fillId="4" borderId="34" xfId="10" applyFont="1" applyBorder="1" applyAlignment="1">
      <alignment horizontal="center" vertical="center"/>
    </xf>
    <xf numFmtId="0" fontId="15" fillId="0" borderId="0" xfId="11" applyBorder="1" applyAlignment="1">
      <alignment wrapText="1"/>
    </xf>
    <xf numFmtId="0" fontId="15" fillId="0" borderId="8" xfId="11" applyBorder="1" applyAlignment="1">
      <alignment wrapText="1"/>
    </xf>
    <xf numFmtId="0" fontId="15" fillId="0" borderId="11" xfId="11" applyBorder="1" applyAlignment="1">
      <alignment wrapText="1"/>
    </xf>
    <xf numFmtId="0" fontId="15" fillId="0" borderId="28" xfId="11" applyBorder="1" applyAlignment="1">
      <alignment wrapText="1"/>
    </xf>
    <xf numFmtId="0" fontId="15" fillId="0" borderId="0" xfId="11" applyAlignment="1">
      <alignment wrapText="1"/>
    </xf>
    <xf numFmtId="0" fontId="15" fillId="0" borderId="32" xfId="11" applyBorder="1" applyAlignment="1">
      <alignment wrapText="1"/>
    </xf>
    <xf numFmtId="0" fontId="15" fillId="0" borderId="0" xfId="11" applyFill="1" applyBorder="1" applyAlignment="1">
      <alignment wrapText="1"/>
    </xf>
    <xf numFmtId="0" fontId="15" fillId="0" borderId="8" xfId="11" applyFill="1" applyBorder="1" applyAlignment="1">
      <alignment wrapText="1"/>
    </xf>
    <xf numFmtId="11" fontId="2" fillId="4" borderId="25" xfId="10" applyNumberFormat="1" applyFont="1" applyBorder="1" applyAlignment="1">
      <alignment horizontal="center" vertical="center"/>
    </xf>
    <xf numFmtId="9" fontId="2" fillId="4" borderId="24" xfId="8" applyFont="1" applyFill="1" applyBorder="1" applyAlignment="1">
      <alignment horizontal="center" vertical="center"/>
    </xf>
    <xf numFmtId="11" fontId="0" fillId="4" borderId="25" xfId="10" applyNumberFormat="1" applyFont="1" applyBorder="1" applyAlignment="1">
      <alignment horizontal="center"/>
    </xf>
    <xf numFmtId="0" fontId="0" fillId="4" borderId="25" xfId="10" applyFont="1" applyBorder="1" applyAlignment="1">
      <alignment horizontal="center" vertical="center"/>
    </xf>
    <xf numFmtId="0" fontId="15" fillId="0" borderId="1" xfId="11" applyBorder="1" applyAlignment="1">
      <alignment wrapText="1"/>
    </xf>
    <xf numFmtId="0" fontId="9" fillId="0" borderId="6" xfId="0" applyFont="1" applyFill="1" applyBorder="1" applyAlignment="1">
      <alignment horizontal="center" vertical="center"/>
    </xf>
    <xf numFmtId="0" fontId="9" fillId="0" borderId="31" xfId="0" applyFont="1" applyFill="1" applyBorder="1" applyAlignment="1">
      <alignment horizontal="center" vertical="center"/>
    </xf>
    <xf numFmtId="0" fontId="9" fillId="0" borderId="17" xfId="0" applyFont="1" applyBorder="1" applyAlignment="1">
      <alignment horizontal="center" vertical="center"/>
    </xf>
    <xf numFmtId="0" fontId="9" fillId="0" borderId="5" xfId="0" applyFont="1" applyFill="1" applyBorder="1" applyAlignment="1">
      <alignment horizontal="center" vertical="center"/>
    </xf>
    <xf numFmtId="11" fontId="15" fillId="0" borderId="0" xfId="11" applyNumberFormat="1" applyAlignment="1">
      <alignment horizontal="center" vertical="center"/>
    </xf>
    <xf numFmtId="11" fontId="0" fillId="4" borderId="35" xfId="10" applyNumberFormat="1" applyFont="1" applyBorder="1" applyAlignment="1">
      <alignment horizontal="center"/>
    </xf>
    <xf numFmtId="0" fontId="15" fillId="0" borderId="0" xfId="11" applyBorder="1" applyAlignment="1">
      <alignment vertical="center" wrapText="1"/>
    </xf>
    <xf numFmtId="11" fontId="0" fillId="4" borderId="25" xfId="10" applyNumberFormat="1" applyFont="1" applyBorder="1" applyAlignment="1">
      <alignment horizontal="center" vertical="center"/>
    </xf>
    <xf numFmtId="0" fontId="0" fillId="4" borderId="25" xfId="10" applyNumberFormat="1" applyFont="1" applyBorder="1" applyAlignment="1">
      <alignment horizontal="center" vertical="center"/>
    </xf>
    <xf numFmtId="0" fontId="0" fillId="4" borderId="23" xfId="10" applyFont="1" applyBorder="1" applyAlignment="1">
      <alignment horizontal="center" vertical="center"/>
    </xf>
    <xf numFmtId="0" fontId="3" fillId="4" borderId="30" xfId="10" applyFont="1" applyBorder="1" applyAlignment="1">
      <alignment vertical="center"/>
    </xf>
    <xf numFmtId="11" fontId="0" fillId="4" borderId="34" xfId="10" applyNumberFormat="1" applyFont="1" applyBorder="1" applyAlignment="1">
      <alignment horizontal="center" vertical="center"/>
    </xf>
    <xf numFmtId="0" fontId="15" fillId="0" borderId="1" xfId="11" applyBorder="1" applyAlignment="1">
      <alignment vertical="center" wrapText="1"/>
    </xf>
    <xf numFmtId="0" fontId="0" fillId="4" borderId="36" xfId="10" applyNumberFormat="1" applyFont="1" applyBorder="1" applyAlignment="1">
      <alignment horizontal="center" vertical="center"/>
    </xf>
    <xf numFmtId="0" fontId="5" fillId="3" borderId="37" xfId="0" applyFont="1" applyFill="1" applyBorder="1" applyAlignment="1">
      <alignment horizontal="center" vertical="center"/>
    </xf>
    <xf numFmtId="0" fontId="0" fillId="4" borderId="38" xfId="10" applyNumberFormat="1" applyFont="1" applyBorder="1" applyAlignment="1">
      <alignment horizontal="center" vertical="center"/>
    </xf>
    <xf numFmtId="0" fontId="9" fillId="0" borderId="16" xfId="0" applyFont="1" applyBorder="1" applyAlignment="1">
      <alignment horizontal="center" vertical="center"/>
    </xf>
    <xf numFmtId="0" fontId="15" fillId="0" borderId="4" xfId="11" applyBorder="1" applyAlignment="1">
      <alignment vertical="center" wrapText="1"/>
    </xf>
    <xf numFmtId="0" fontId="15" fillId="0" borderId="0" xfId="11" applyFill="1" applyBorder="1" applyAlignment="1">
      <alignment vertical="center" wrapText="1"/>
    </xf>
    <xf numFmtId="11" fontId="5" fillId="4" borderId="39" xfId="10" applyNumberFormat="1" applyFont="1" applyBorder="1" applyAlignment="1">
      <alignment horizontal="center" vertical="center"/>
    </xf>
    <xf numFmtId="0" fontId="2" fillId="0" borderId="0" xfId="0" applyFont="1" applyFill="1" applyBorder="1"/>
    <xf numFmtId="0" fontId="3" fillId="0" borderId="0" xfId="0" applyFont="1" applyFill="1" applyBorder="1"/>
    <xf numFmtId="0" fontId="5" fillId="0" borderId="0" xfId="0" applyFont="1" applyFill="1" applyBorder="1" applyAlignment="1">
      <alignment horizontal="center" vertical="center"/>
    </xf>
    <xf numFmtId="11" fontId="2"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0" fontId="5" fillId="3" borderId="40" xfId="0" applyFont="1" applyFill="1" applyBorder="1" applyAlignment="1">
      <alignment horizontal="center" vertical="center"/>
    </xf>
    <xf numFmtId="11" fontId="0" fillId="4" borderId="41" xfId="10" applyNumberFormat="1" applyFont="1" applyBorder="1" applyAlignment="1">
      <alignment horizontal="center" vertical="center"/>
    </xf>
    <xf numFmtId="0" fontId="9" fillId="0" borderId="22" xfId="0" applyFont="1" applyBorder="1" applyAlignment="1">
      <alignment horizontal="center" vertical="center"/>
    </xf>
    <xf numFmtId="0" fontId="15" fillId="0" borderId="0" xfId="11" applyNumberFormat="1" applyAlignment="1">
      <alignment horizontal="center" vertical="center"/>
    </xf>
    <xf numFmtId="169" fontId="0" fillId="4" borderId="23" xfId="10" applyNumberFormat="1" applyFont="1" applyAlignment="1">
      <alignment horizontal="center"/>
    </xf>
    <xf numFmtId="0" fontId="5" fillId="3" borderId="44" xfId="0" applyFont="1" applyFill="1" applyBorder="1" applyAlignment="1">
      <alignment horizontal="center" vertical="center"/>
    </xf>
    <xf numFmtId="11" fontId="2" fillId="4" borderId="23" xfId="10" applyNumberFormat="1" applyFont="1" applyAlignment="1">
      <alignment horizontal="center" vertical="center"/>
    </xf>
    <xf numFmtId="0" fontId="2" fillId="4" borderId="23" xfId="10" applyFont="1" applyAlignment="1">
      <alignment horizontal="center" vertical="center"/>
    </xf>
    <xf numFmtId="11" fontId="0" fillId="4" borderId="23" xfId="10" applyNumberFormat="1" applyFont="1" applyAlignment="1">
      <alignment horizontal="center" vertical="center"/>
    </xf>
    <xf numFmtId="0" fontId="12" fillId="3" borderId="37" xfId="0" applyFont="1" applyFill="1" applyBorder="1" applyAlignment="1">
      <alignment horizontal="center" vertical="center"/>
    </xf>
    <xf numFmtId="0" fontId="12" fillId="3" borderId="20" xfId="0" applyFont="1" applyFill="1" applyBorder="1" applyAlignment="1">
      <alignment horizontal="center" vertical="center"/>
    </xf>
    <xf numFmtId="0" fontId="5" fillId="3" borderId="12" xfId="0" applyFont="1" applyFill="1" applyBorder="1" applyAlignment="1">
      <alignment horizontal="center"/>
    </xf>
    <xf numFmtId="0" fontId="4" fillId="3" borderId="14"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5" fillId="0" borderId="7" xfId="0" applyFont="1" applyBorder="1" applyAlignment="1">
      <alignment horizontal="center" vertical="center"/>
    </xf>
    <xf numFmtId="0" fontId="5" fillId="0" borderId="5" xfId="0" applyFont="1" applyBorder="1" applyAlignment="1">
      <alignment horizontal="center" vertical="center"/>
    </xf>
    <xf numFmtId="0" fontId="4" fillId="3" borderId="14" xfId="0" applyFont="1" applyFill="1" applyBorder="1" applyAlignment="1">
      <alignment horizontal="center" wrapText="1"/>
    </xf>
    <xf numFmtId="0" fontId="4" fillId="3" borderId="13" xfId="0" applyFont="1" applyFill="1" applyBorder="1" applyAlignment="1">
      <alignment horizontal="center" wrapText="1"/>
    </xf>
    <xf numFmtId="0" fontId="5" fillId="4" borderId="47" xfId="10" applyFont="1" applyBorder="1" applyAlignment="1">
      <alignment horizontal="center" vertical="center"/>
    </xf>
    <xf numFmtId="0" fontId="5" fillId="4" borderId="45" xfId="10" applyFont="1" applyBorder="1" applyAlignment="1">
      <alignment horizontal="center" vertical="center"/>
    </xf>
    <xf numFmtId="0" fontId="5" fillId="4" borderId="46" xfId="10" applyFont="1" applyBorder="1" applyAlignment="1">
      <alignment horizontal="center" vertical="center"/>
    </xf>
    <xf numFmtId="2" fontId="2" fillId="4" borderId="23" xfId="10" applyNumberFormat="1" applyFont="1" applyAlignment="1">
      <alignment horizontal="center" vertical="center"/>
    </xf>
    <xf numFmtId="0" fontId="2" fillId="4" borderId="23" xfId="10" applyNumberFormat="1" applyFont="1" applyAlignment="1">
      <alignment horizontal="center" vertical="center"/>
    </xf>
    <xf numFmtId="11" fontId="19" fillId="5" borderId="23" xfId="10" applyNumberFormat="1" applyFont="1" applyFill="1" applyAlignment="1">
      <alignment horizontal="center" vertical="center"/>
    </xf>
    <xf numFmtId="1" fontId="2" fillId="4" borderId="23" xfId="10" applyNumberFormat="1" applyFont="1" applyAlignment="1">
      <alignment horizontal="center" vertical="center"/>
    </xf>
    <xf numFmtId="2" fontId="2" fillId="4" borderId="49" xfId="10" applyNumberFormat="1" applyFont="1" applyBorder="1" applyAlignment="1">
      <alignment horizontal="center" vertical="center"/>
    </xf>
    <xf numFmtId="2" fontId="2" fillId="4" borderId="25" xfId="10" applyNumberFormat="1" applyFont="1" applyBorder="1" applyAlignment="1">
      <alignment horizontal="center" vertical="center"/>
    </xf>
    <xf numFmtId="2" fontId="2" fillId="4" borderId="41" xfId="10" applyNumberFormat="1" applyFont="1" applyBorder="1" applyAlignment="1">
      <alignment horizontal="center" vertical="center"/>
    </xf>
    <xf numFmtId="2" fontId="2" fillId="4" borderId="50" xfId="10" applyNumberFormat="1" applyFont="1" applyBorder="1" applyAlignment="1">
      <alignment horizontal="center" vertical="center"/>
    </xf>
    <xf numFmtId="2" fontId="2" fillId="4" borderId="51" xfId="10" applyNumberFormat="1" applyFont="1" applyBorder="1" applyAlignment="1">
      <alignment horizontal="center" vertical="center"/>
    </xf>
    <xf numFmtId="0" fontId="2" fillId="4" borderId="25" xfId="10" applyNumberFormat="1" applyFont="1" applyBorder="1" applyAlignment="1">
      <alignment horizontal="center" vertical="center"/>
    </xf>
    <xf numFmtId="0" fontId="2" fillId="4" borderId="52" xfId="10" applyNumberFormat="1" applyFont="1" applyBorder="1" applyAlignment="1">
      <alignment horizontal="center" vertical="center"/>
    </xf>
    <xf numFmtId="0" fontId="2" fillId="4" borderId="53" xfId="10" applyNumberFormat="1" applyFont="1" applyBorder="1" applyAlignment="1">
      <alignment horizontal="center" vertical="center"/>
    </xf>
    <xf numFmtId="0" fontId="2" fillId="4" borderId="51" xfId="10" applyNumberFormat="1" applyFont="1" applyBorder="1" applyAlignment="1">
      <alignment horizontal="center" vertical="center"/>
    </xf>
    <xf numFmtId="0" fontId="2" fillId="4" borderId="41" xfId="10" applyNumberFormat="1" applyFont="1" applyBorder="1" applyAlignment="1">
      <alignment horizontal="center" vertical="center"/>
    </xf>
    <xf numFmtId="1" fontId="2" fillId="4" borderId="25" xfId="10" applyNumberFormat="1" applyFont="1" applyBorder="1" applyAlignment="1">
      <alignment horizontal="center" vertical="center"/>
    </xf>
    <xf numFmtId="1" fontId="2" fillId="4" borderId="52" xfId="10" applyNumberFormat="1" applyFont="1" applyBorder="1" applyAlignment="1">
      <alignment horizontal="center" vertical="center"/>
    </xf>
    <xf numFmtId="1" fontId="2" fillId="4" borderId="53" xfId="10" applyNumberFormat="1" applyFont="1" applyBorder="1" applyAlignment="1">
      <alignment horizontal="center" vertical="center"/>
    </xf>
    <xf numFmtId="1" fontId="2" fillId="4" borderId="51" xfId="10" applyNumberFormat="1" applyFont="1" applyBorder="1" applyAlignment="1">
      <alignment horizontal="center" vertical="center"/>
    </xf>
    <xf numFmtId="1" fontId="2" fillId="4" borderId="41" xfId="10" applyNumberFormat="1" applyFont="1" applyBorder="1" applyAlignment="1">
      <alignment horizontal="center" vertical="center"/>
    </xf>
    <xf numFmtId="1" fontId="2" fillId="4" borderId="54" xfId="10" applyNumberFormat="1" applyFont="1" applyBorder="1" applyAlignment="1">
      <alignment horizontal="center" vertical="center"/>
    </xf>
    <xf numFmtId="1" fontId="2" fillId="4" borderId="34" xfId="10" applyNumberFormat="1" applyFont="1" applyBorder="1" applyAlignment="1">
      <alignment horizontal="center" vertical="center"/>
    </xf>
    <xf numFmtId="0" fontId="2" fillId="4" borderId="54" xfId="10" applyNumberFormat="1" applyFont="1" applyBorder="1" applyAlignment="1">
      <alignment horizontal="center" vertical="center"/>
    </xf>
    <xf numFmtId="0" fontId="2" fillId="4" borderId="34" xfId="10" applyNumberFormat="1" applyFont="1" applyBorder="1" applyAlignment="1">
      <alignment horizontal="center" vertical="center"/>
    </xf>
    <xf numFmtId="0" fontId="19" fillId="5" borderId="53" xfId="10" applyFont="1" applyFill="1" applyBorder="1" applyAlignment="1">
      <alignment horizontal="center" vertical="center"/>
    </xf>
    <xf numFmtId="11" fontId="19" fillId="5" borderId="53" xfId="10" applyNumberFormat="1" applyFont="1" applyFill="1" applyBorder="1" applyAlignment="1">
      <alignment horizontal="center" vertical="center"/>
    </xf>
    <xf numFmtId="0" fontId="5" fillId="4" borderId="55" xfId="10" applyFont="1" applyBorder="1" applyAlignment="1">
      <alignment horizontal="center" vertical="center"/>
    </xf>
    <xf numFmtId="0" fontId="5" fillId="4" borderId="21" xfId="10" applyFont="1" applyBorder="1" applyAlignment="1">
      <alignment horizontal="center" vertical="center"/>
    </xf>
    <xf numFmtId="0" fontId="12" fillId="3" borderId="15" xfId="0" applyFont="1" applyFill="1" applyBorder="1" applyAlignment="1">
      <alignment horizontal="center" vertical="center"/>
    </xf>
    <xf numFmtId="0" fontId="5" fillId="2" borderId="56" xfId="0" applyFont="1" applyFill="1" applyBorder="1" applyAlignment="1">
      <alignment horizontal="center" vertical="center"/>
    </xf>
    <xf numFmtId="0" fontId="5" fillId="2" borderId="42" xfId="0" applyFont="1" applyFill="1" applyBorder="1" applyAlignment="1">
      <alignment horizontal="center" vertical="center"/>
    </xf>
    <xf numFmtId="0" fontId="5" fillId="2" borderId="57" xfId="0" applyFont="1" applyFill="1" applyBorder="1" applyAlignment="1">
      <alignment horizontal="center" vertical="center"/>
    </xf>
    <xf numFmtId="0" fontId="2" fillId="4" borderId="49" xfId="10" applyFont="1" applyBorder="1" applyAlignment="1">
      <alignment horizontal="center" vertical="center"/>
    </xf>
    <xf numFmtId="0" fontId="2" fillId="4" borderId="51" xfId="10" applyFont="1" applyBorder="1" applyAlignment="1">
      <alignment horizontal="center" vertical="center"/>
    </xf>
    <xf numFmtId="0" fontId="2" fillId="4" borderId="41" xfId="10" applyFont="1" applyBorder="1" applyAlignment="1">
      <alignment horizontal="center" vertical="center"/>
    </xf>
    <xf numFmtId="0" fontId="2" fillId="4" borderId="58" xfId="10" applyFont="1" applyBorder="1" applyAlignment="1">
      <alignment horizontal="center" vertical="center"/>
    </xf>
    <xf numFmtId="0" fontId="2" fillId="4" borderId="59" xfId="10" applyFont="1" applyBorder="1" applyAlignment="1">
      <alignment horizontal="center" vertical="center"/>
    </xf>
    <xf numFmtId="0" fontId="2" fillId="4" borderId="60" xfId="10" applyFont="1" applyBorder="1" applyAlignment="1">
      <alignment horizontal="center" vertical="center"/>
    </xf>
    <xf numFmtId="0" fontId="2" fillId="4" borderId="23" xfId="10" applyFont="1" applyBorder="1" applyAlignment="1">
      <alignment horizontal="center" vertical="center"/>
    </xf>
    <xf numFmtId="0" fontId="2" fillId="4" borderId="61" xfId="10" applyFont="1" applyBorder="1" applyAlignment="1">
      <alignment horizontal="center" vertical="center"/>
    </xf>
    <xf numFmtId="0" fontId="2" fillId="4" borderId="62" xfId="10" applyFont="1" applyBorder="1" applyAlignment="1">
      <alignment horizontal="center" vertical="center"/>
    </xf>
    <xf numFmtId="0" fontId="2" fillId="4" borderId="63" xfId="10" applyFont="1" applyBorder="1" applyAlignment="1">
      <alignment horizontal="center" vertical="center"/>
    </xf>
    <xf numFmtId="0" fontId="2" fillId="4" borderId="50" xfId="10" applyFont="1" applyBorder="1" applyAlignment="1">
      <alignment horizontal="center" vertical="center"/>
    </xf>
    <xf numFmtId="0" fontId="2" fillId="4" borderId="64" xfId="10" applyFont="1" applyBorder="1" applyAlignment="1">
      <alignment horizontal="center" vertical="center"/>
    </xf>
    <xf numFmtId="0" fontId="2" fillId="4" borderId="65" xfId="10" applyFont="1" applyBorder="1" applyAlignment="1">
      <alignment horizontal="center" vertical="center"/>
    </xf>
    <xf numFmtId="0" fontId="2" fillId="4" borderId="26" xfId="10" applyFont="1" applyBorder="1" applyAlignment="1">
      <alignment horizontal="center" vertical="center"/>
    </xf>
    <xf numFmtId="0" fontId="2" fillId="4" borderId="66" xfId="10" applyFont="1" applyBorder="1" applyAlignment="1">
      <alignment horizontal="center" vertical="center"/>
    </xf>
    <xf numFmtId="0" fontId="0" fillId="0" borderId="0" xfId="0" applyFill="1"/>
    <xf numFmtId="0" fontId="15" fillId="0" borderId="0" xfId="11" applyAlignment="1">
      <alignment vertical="center" wrapText="1"/>
    </xf>
    <xf numFmtId="0" fontId="0" fillId="4" borderId="34" xfId="10" applyFont="1" applyBorder="1" applyAlignment="1">
      <alignment horizontal="center" vertical="center"/>
    </xf>
    <xf numFmtId="0" fontId="5" fillId="3" borderId="19" xfId="0" applyFont="1" applyFill="1" applyBorder="1" applyAlignment="1">
      <alignment horizontal="center" vertical="center" wrapText="1"/>
    </xf>
    <xf numFmtId="2" fontId="15" fillId="0" borderId="19" xfId="11" applyNumberFormat="1" applyBorder="1" applyAlignment="1">
      <alignment horizontal="center" vertical="center" wrapText="1"/>
    </xf>
    <xf numFmtId="0" fontId="9" fillId="0" borderId="19" xfId="0" applyFont="1" applyBorder="1" applyAlignment="1">
      <alignment horizontal="center" vertical="center" wrapText="1"/>
    </xf>
    <xf numFmtId="11" fontId="19" fillId="5" borderId="19" xfId="10" applyNumberFormat="1" applyFont="1" applyFill="1" applyBorder="1" applyAlignment="1">
      <alignment horizontal="center" vertical="center" wrapText="1"/>
    </xf>
    <xf numFmtId="11" fontId="0" fillId="4" borderId="20" xfId="10" applyNumberFormat="1" applyFont="1" applyBorder="1" applyAlignment="1">
      <alignment horizontal="center" vertical="center" wrapText="1"/>
    </xf>
    <xf numFmtId="0" fontId="0" fillId="4" borderId="18" xfId="10" applyFont="1" applyBorder="1" applyAlignment="1">
      <alignment horizontal="center" vertical="center" wrapText="1"/>
    </xf>
    <xf numFmtId="0" fontId="0" fillId="0" borderId="0" xfId="0" applyAlignment="1">
      <alignment wrapText="1"/>
    </xf>
    <xf numFmtId="0" fontId="20" fillId="0" borderId="0" xfId="0" applyFont="1"/>
    <xf numFmtId="0" fontId="2" fillId="0" borderId="0" xfId="0" applyFont="1" applyAlignment="1">
      <alignment wrapText="1"/>
    </xf>
    <xf numFmtId="0" fontId="0" fillId="4" borderId="34" xfId="10" applyNumberFormat="1" applyFont="1" applyBorder="1" applyAlignment="1">
      <alignment horizontal="center" vertical="center"/>
    </xf>
    <xf numFmtId="0" fontId="9" fillId="0" borderId="17" xfId="0" applyFont="1" applyFill="1" applyBorder="1" applyAlignment="1">
      <alignment horizontal="center" vertical="center"/>
    </xf>
    <xf numFmtId="0" fontId="15" fillId="0" borderId="1" xfId="11" applyFill="1" applyBorder="1" applyAlignment="1">
      <alignment vertical="center" wrapText="1"/>
    </xf>
    <xf numFmtId="0" fontId="15" fillId="0" borderId="10" xfId="11" applyBorder="1" applyAlignment="1">
      <alignment vertical="center" wrapText="1"/>
    </xf>
    <xf numFmtId="0" fontId="0" fillId="4" borderId="23" xfId="10" applyNumberFormat="1" applyFont="1" applyAlignment="1">
      <alignment horizontal="center"/>
    </xf>
    <xf numFmtId="11" fontId="2" fillId="4" borderId="38" xfId="10" applyNumberFormat="1" applyFont="1" applyBorder="1" applyAlignment="1">
      <alignment horizontal="center" vertical="center"/>
    </xf>
    <xf numFmtId="0" fontId="9" fillId="0" borderId="67" xfId="0" applyFont="1" applyBorder="1" applyAlignment="1">
      <alignment horizontal="center" vertical="center"/>
    </xf>
    <xf numFmtId="0" fontId="5" fillId="3" borderId="68" xfId="0" applyFont="1" applyFill="1" applyBorder="1" applyAlignment="1">
      <alignment horizontal="center" vertical="center" wrapText="1"/>
    </xf>
    <xf numFmtId="0" fontId="0" fillId="4" borderId="69" xfId="10" applyNumberFormat="1" applyFont="1" applyBorder="1" applyAlignment="1">
      <alignment horizontal="center" vertical="center"/>
    </xf>
    <xf numFmtId="0" fontId="0" fillId="4" borderId="25" xfId="8" applyNumberFormat="1" applyFont="1" applyFill="1" applyBorder="1" applyAlignment="1">
      <alignment horizontal="center" vertical="center"/>
    </xf>
    <xf numFmtId="0" fontId="2" fillId="4" borderId="25" xfId="8" applyNumberFormat="1" applyFont="1" applyFill="1" applyBorder="1" applyAlignment="1">
      <alignment horizontal="center" vertical="center"/>
    </xf>
    <xf numFmtId="11" fontId="0" fillId="0" borderId="0" xfId="0" applyNumberFormat="1"/>
    <xf numFmtId="170" fontId="2" fillId="4" borderId="23" xfId="10" applyNumberFormat="1" applyFont="1" applyAlignment="1">
      <alignment horizontal="center" vertical="center"/>
    </xf>
    <xf numFmtId="0" fontId="15" fillId="0" borderId="0" xfId="1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vertical="center" wrapText="1"/>
    </xf>
    <xf numFmtId="0" fontId="14" fillId="0" borderId="0" xfId="9" applyFill="1" applyBorder="1" applyAlignment="1">
      <alignment horizontal="center" vertical="center" wrapText="1"/>
    </xf>
    <xf numFmtId="0" fontId="14" fillId="0" borderId="8" xfId="9" applyFill="1" applyBorder="1" applyAlignment="1">
      <alignment horizontal="center" vertical="center" wrapText="1"/>
    </xf>
    <xf numFmtId="0" fontId="15" fillId="0" borderId="0" xfId="11" applyBorder="1" applyAlignment="1">
      <alignment horizontal="center" vertical="center" wrapText="1"/>
    </xf>
    <xf numFmtId="0" fontId="15" fillId="0" borderId="10" xfId="11" applyBorder="1" applyAlignment="1">
      <alignment horizontal="center" vertical="center" wrapText="1"/>
    </xf>
    <xf numFmtId="0" fontId="5" fillId="3" borderId="48" xfId="0" applyFont="1" applyFill="1" applyBorder="1" applyAlignment="1">
      <alignment horizontal="center"/>
    </xf>
    <xf numFmtId="0" fontId="5" fillId="3" borderId="43" xfId="0" applyFont="1" applyFill="1" applyBorder="1" applyAlignment="1">
      <alignment horizontal="center"/>
    </xf>
    <xf numFmtId="0" fontId="5" fillId="3" borderId="13" xfId="0" applyFont="1" applyFill="1" applyBorder="1" applyAlignment="1">
      <alignment horizontal="center"/>
    </xf>
    <xf numFmtId="0" fontId="4" fillId="3" borderId="2" xfId="0" applyFont="1" applyFill="1" applyBorder="1" applyAlignment="1">
      <alignment horizontal="center"/>
    </xf>
    <xf numFmtId="0" fontId="4" fillId="3" borderId="9" xfId="0" applyFont="1" applyFill="1" applyBorder="1" applyAlignment="1">
      <alignment horizontal="center"/>
    </xf>
    <xf numFmtId="0" fontId="4" fillId="3" borderId="3" xfId="0" applyFont="1" applyFill="1" applyBorder="1" applyAlignment="1">
      <alignment horizontal="center"/>
    </xf>
  </cellXfs>
  <cellStyles count="12">
    <cellStyle name="Euro" xfId="1" xr:uid="{00000000-0005-0000-0000-000000000000}"/>
    <cellStyle name="Explanatory Text" xfId="11" builtinId="53"/>
    <cellStyle name="Milliers [0]_Nitrification model" xfId="2" xr:uid="{00000000-0005-0000-0000-000001000000}"/>
    <cellStyle name="Milliers_Nitrification model" xfId="3" xr:uid="{00000000-0005-0000-0000-000002000000}"/>
    <cellStyle name="Monétaire [0]_Nitrification model" xfId="4" xr:uid="{00000000-0005-0000-0000-000003000000}"/>
    <cellStyle name="Monétaire_Nitrification model" xfId="5" xr:uid="{00000000-0005-0000-0000-000004000000}"/>
    <cellStyle name="Normal" xfId="0" builtinId="0"/>
    <cellStyle name="Normal 2" xfId="6" xr:uid="{00000000-0005-0000-0000-000006000000}"/>
    <cellStyle name="Normal 3" xfId="7" xr:uid="{00000000-0005-0000-0000-000007000000}"/>
    <cellStyle name="Note" xfId="10" builtinId="10"/>
    <cellStyle name="Percent" xfId="8" builtinId="5"/>
    <cellStyle name="Warning Text" xfId="9" builtinId="11"/>
  </cellStyles>
  <dxfs count="71">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b val="0"/>
        <i/>
        <color theme="1" tint="0.34998626667073579"/>
      </font>
    </dxf>
    <dxf>
      <font>
        <b val="0"/>
        <i/>
        <color theme="1" tint="0.34998626667073579"/>
      </font>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strike val="0"/>
        <color theme="0" tint="-0.24994659260841701"/>
      </font>
      <fill>
        <patternFill>
          <bgColor theme="0" tint="-4.9989318521683403E-2"/>
        </patternFill>
      </fill>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Chiel van Amstel" id="{969302A7-3B3A-4079-852A-4AE1C0564048}" userId="Chiel van Amstel" providerId="None"/>
  <person displayName="Eloi Martínez-Rabert (PGR)" id="{5CC223E8-22CF-48C3-ABCE-0A00391E726E}" userId="S::2424069M@student.gla.ac.uk::cb616271-4a7a-48f5-8972-853218eda00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1" dT="2021-12-16T15:08:36.62" personId="{969302A7-3B3A-4079-852A-4AE1C0564048}" id="{873F5D62-7A36-441D-909B-5D8DF0BCC1F4}">
    <text>Lemaire2008 -&gt; order of magnitude 30-80 g/L for synthetic feed, 150 g/L in their experiment</text>
  </threadedComment>
</ThreadedComments>
</file>

<file path=xl/threadedComments/threadedComment2.xml><?xml version="1.0" encoding="utf-8"?>
<ThreadedComments xmlns="http://schemas.microsoft.com/office/spreadsheetml/2018/threadedcomments" xmlns:x="http://schemas.openxmlformats.org/spreadsheetml/2006/main">
  <threadedComment ref="B7" dT="2022-06-01T08:28:43.45" personId="{5CC223E8-22CF-48C3-ABCE-0A00391E726E}" id="{AAB0138B-EC14-4FA4-84D5-32A8A09E2735}">
    <text>From Poot2016. SI (Fig S2)</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2-06-01T12:54:08.83" personId="{5CC223E8-22CF-48C3-ABCE-0A00391E726E}" id="{39C3F1E7-313F-41C1-BEA1-5D4A070A352E}">
    <text>70% of diffusion coefficient (aq). From Berg et al. (2020). How to measure diffusion coefficients in biofilms: A critical analysis.</text>
  </threadedComment>
</ThreadedComments>
</file>

<file path=xl/threadedComments/threadedComment4.xml><?xml version="1.0" encoding="utf-8"?>
<ThreadedComments xmlns="http://schemas.microsoft.com/office/spreadsheetml/2018/threadedcomments" xmlns:x="http://schemas.openxmlformats.org/spreadsheetml/2006/main">
  <threadedComment ref="B6" dT="2021-05-06T16:02:09.77" personId="{5CC223E8-22CF-48C3-ABCE-0A00391E726E}" id="{FAFA8C7C-6800-4018-947D-B9F524B630BA}">
    <text>From [Strous1998]</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 Id="rId4" Type="http://schemas.microsoft.com/office/2017/10/relationships/threadedComment" Target="../threadedComments/threadedComment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838C-F568-417D-8029-DEFF7E533FF8}">
  <dimension ref="A1:C17"/>
  <sheetViews>
    <sheetView workbookViewId="0">
      <selection activeCell="C16" sqref="C16"/>
    </sheetView>
  </sheetViews>
  <sheetFormatPr defaultRowHeight="13.2" x14ac:dyDescent="0.25"/>
  <cols>
    <col min="1" max="1" width="44.44140625" customWidth="1"/>
    <col min="2" max="2" width="33.88671875" customWidth="1"/>
    <col min="3" max="3" width="45" customWidth="1"/>
  </cols>
  <sheetData>
    <row r="1" spans="1:3" x14ac:dyDescent="0.25">
      <c r="A1" s="20" t="s">
        <v>45</v>
      </c>
      <c r="B1" s="20" t="s">
        <v>43</v>
      </c>
      <c r="C1" s="20" t="s">
        <v>44</v>
      </c>
    </row>
    <row r="2" spans="1:3" x14ac:dyDescent="0.25">
      <c r="A2" s="19" t="s">
        <v>52</v>
      </c>
      <c r="B2" s="4" t="s">
        <v>47</v>
      </c>
      <c r="C2" s="4" t="s">
        <v>48</v>
      </c>
    </row>
    <row r="3" spans="1:3" x14ac:dyDescent="0.25">
      <c r="B3" s="4" t="s">
        <v>50</v>
      </c>
    </row>
    <row r="4" spans="1:3" x14ac:dyDescent="0.25">
      <c r="B4" s="4" t="s">
        <v>49</v>
      </c>
    </row>
    <row r="9" spans="1:3" ht="21" x14ac:dyDescent="0.4">
      <c r="A9" s="149" t="s">
        <v>192</v>
      </c>
    </row>
    <row r="10" spans="1:3" ht="52.8" x14ac:dyDescent="0.25">
      <c r="A10" s="150" t="s">
        <v>193</v>
      </c>
    </row>
    <row r="11" spans="1:3" ht="27" thickBot="1" x14ac:dyDescent="0.3">
      <c r="A11" s="148" t="s">
        <v>194</v>
      </c>
    </row>
    <row r="12" spans="1:3" x14ac:dyDescent="0.25">
      <c r="A12" s="147" t="s">
        <v>198</v>
      </c>
    </row>
    <row r="13" spans="1:3" ht="28.8" x14ac:dyDescent="0.25">
      <c r="A13" s="143" t="s">
        <v>195</v>
      </c>
    </row>
    <row r="14" spans="1:3" ht="26.4" x14ac:dyDescent="0.25">
      <c r="A14" s="142" t="s">
        <v>196</v>
      </c>
    </row>
    <row r="15" spans="1:3" ht="52.8" x14ac:dyDescent="0.25">
      <c r="A15" s="144" t="s">
        <v>200</v>
      </c>
    </row>
    <row r="16" spans="1:3" ht="52.8" x14ac:dyDescent="0.25">
      <c r="A16" s="145" t="s">
        <v>197</v>
      </c>
    </row>
    <row r="17" spans="1:1" ht="40.200000000000003" thickBot="1" x14ac:dyDescent="0.3">
      <c r="A17" s="146" t="s">
        <v>199</v>
      </c>
    </row>
  </sheetData>
  <conditionalFormatting sqref="A15">
    <cfRule type="expression" dxfId="70" priority="6">
      <formula>$B$2 = FALSE</formula>
    </cfRule>
  </conditionalFormatting>
  <conditionalFormatting sqref="A16">
    <cfRule type="containsText" dxfId="69" priority="4" operator="containsText" text="NA">
      <formula>NOT(ISERROR(SEARCH("NA",A16)))</formula>
    </cfRule>
    <cfRule type="containsText" dxfId="68" priority="5" operator="containsText" text="Inf">
      <formula>NOT(ISERROR(SEARCH("Inf",A16)))</formula>
    </cfRule>
  </conditionalFormatting>
  <conditionalFormatting sqref="A16">
    <cfRule type="cellIs" dxfId="67" priority="3" operator="equal">
      <formula>0</formula>
    </cfRule>
  </conditionalFormatting>
  <conditionalFormatting sqref="A17">
    <cfRule type="expression" dxfId="66" priority="1">
      <formula>$B$11&lt;&gt;"naive"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80DB5-92D9-44E1-984F-05E418326CA4}">
  <dimension ref="A1:G15"/>
  <sheetViews>
    <sheetView workbookViewId="0">
      <selection activeCell="B31" sqref="B31"/>
    </sheetView>
  </sheetViews>
  <sheetFormatPr defaultRowHeight="13.2" x14ac:dyDescent="0.25"/>
  <cols>
    <col min="1" max="1" width="30" bestFit="1" customWidth="1"/>
    <col min="2" max="2" width="14.109375" customWidth="1"/>
    <col min="3" max="3" width="40.88671875" customWidth="1"/>
  </cols>
  <sheetData>
    <row r="1" spans="1:7" ht="14.4" x14ac:dyDescent="0.25">
      <c r="A1" s="12" t="str">
        <f>Discretization!A15</f>
        <v>Dynamic dT</v>
      </c>
      <c r="B1" s="23" t="b">
        <f>Discretization!B15</f>
        <v>1</v>
      </c>
      <c r="C1" s="164" t="s">
        <v>190</v>
      </c>
    </row>
    <row r="2" spans="1:7" ht="14.4" x14ac:dyDescent="0.25">
      <c r="A2" s="12" t="str">
        <f>Parameters!A2</f>
        <v>Variable HRT</v>
      </c>
      <c r="B2" s="23" t="b">
        <f>Parameters!B2</f>
        <v>1</v>
      </c>
      <c r="C2" s="164"/>
    </row>
    <row r="3" spans="1:7" ht="14.4" x14ac:dyDescent="0.25">
      <c r="A3" s="12" t="str">
        <f>Bacteria!A6</f>
        <v>Initialisation method</v>
      </c>
      <c r="B3" s="23" t="str">
        <f>Bacteria!B6</f>
        <v>granule</v>
      </c>
      <c r="C3" s="164"/>
    </row>
    <row r="4" spans="1:7" ht="14.4" x14ac:dyDescent="0.25">
      <c r="A4" s="12" t="str">
        <f>Bacteria!A14</f>
        <v>Detachment method</v>
      </c>
      <c r="B4" s="23" t="str">
        <f>Bacteria!B14</f>
        <v>mechanistic</v>
      </c>
      <c r="C4" s="164"/>
    </row>
    <row r="5" spans="1:7" ht="14.4" x14ac:dyDescent="0.25">
      <c r="A5" s="12" t="str">
        <f>Bacteria!A13</f>
        <v>Inactivation enabled</v>
      </c>
      <c r="B5" s="23" t="b">
        <f>Bacteria!B13</f>
        <v>1</v>
      </c>
      <c r="C5" s="164"/>
    </row>
    <row r="6" spans="1:7" ht="14.4" x14ac:dyDescent="0.25">
      <c r="A6" s="12" t="str">
        <f>Solver!A4</f>
        <v>pH bulk concentration corrected</v>
      </c>
      <c r="B6" s="23" t="b">
        <f>Solver!B4</f>
        <v>1</v>
      </c>
      <c r="C6" s="164"/>
    </row>
    <row r="7" spans="1:7" ht="14.4" x14ac:dyDescent="0.25">
      <c r="A7" s="12" t="str">
        <f>Solver!A2</f>
        <v>pH solving included</v>
      </c>
      <c r="B7" s="23" t="b">
        <f>Solver!B2</f>
        <v>1</v>
      </c>
      <c r="C7" s="164"/>
    </row>
    <row r="8" spans="1:7" ht="14.4" customHeight="1" x14ac:dyDescent="0.25">
      <c r="A8" s="12" t="str">
        <f>Solver!A5</f>
        <v>Speciation included</v>
      </c>
      <c r="B8" s="23" t="b">
        <f>Solver!B5</f>
        <v>1</v>
      </c>
      <c r="C8" s="164"/>
    </row>
    <row r="9" spans="1:7" ht="13.2" customHeight="1" x14ac:dyDescent="0.25">
      <c r="C9" s="140"/>
      <c r="G9" s="139"/>
    </row>
    <row r="10" spans="1:7" ht="13.2" customHeight="1" x14ac:dyDescent="0.25">
      <c r="C10" s="140"/>
      <c r="G10" s="139"/>
    </row>
    <row r="11" spans="1:7" ht="13.2" customHeight="1" x14ac:dyDescent="0.25">
      <c r="C11" s="140"/>
      <c r="G11" s="139"/>
    </row>
    <row r="12" spans="1:7" ht="13.2" customHeight="1" x14ac:dyDescent="0.25">
      <c r="C12" s="140"/>
      <c r="G12" s="139"/>
    </row>
    <row r="13" spans="1:7" ht="13.2" customHeight="1" x14ac:dyDescent="0.25">
      <c r="C13" s="140"/>
    </row>
    <row r="14" spans="1:7" ht="13.2" customHeight="1" x14ac:dyDescent="0.25">
      <c r="C14" s="140"/>
    </row>
    <row r="15" spans="1:7" ht="13.2" customHeight="1" x14ac:dyDescent="0.25">
      <c r="C15" s="140"/>
    </row>
  </sheetData>
  <mergeCells count="1">
    <mergeCell ref="C1: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8"/>
  <sheetViews>
    <sheetView workbookViewId="0">
      <selection activeCell="B8" sqref="B8"/>
    </sheetView>
  </sheetViews>
  <sheetFormatPr defaultColWidth="9.109375" defaultRowHeight="13.2" x14ac:dyDescent="0.25"/>
  <cols>
    <col min="1" max="1" width="33.6640625" style="1" bestFit="1" customWidth="1"/>
    <col min="2" max="3" width="9.109375" style="1"/>
    <col min="4" max="4" width="72" style="1" customWidth="1"/>
    <col min="5" max="5" width="18.109375" style="1" customWidth="1"/>
    <col min="6" max="16384" width="9.109375" style="1"/>
  </cols>
  <sheetData>
    <row r="1" spans="1:5" ht="14.4" customHeight="1" x14ac:dyDescent="0.3">
      <c r="A1" s="12" t="s">
        <v>35</v>
      </c>
      <c r="B1" s="45">
        <v>257</v>
      </c>
      <c r="C1" s="14" t="s">
        <v>31</v>
      </c>
      <c r="D1" s="34" t="s">
        <v>61</v>
      </c>
      <c r="E1" s="165" t="s">
        <v>68</v>
      </c>
    </row>
    <row r="2" spans="1:5" ht="14.4" x14ac:dyDescent="0.3">
      <c r="A2" s="12" t="s">
        <v>36</v>
      </c>
      <c r="B2" s="56">
        <v>257</v>
      </c>
      <c r="C2" s="14" t="s">
        <v>31</v>
      </c>
      <c r="D2" s="34" t="s">
        <v>62</v>
      </c>
      <c r="E2" s="165"/>
    </row>
    <row r="3" spans="1:5" ht="14.4" x14ac:dyDescent="0.3">
      <c r="A3" s="12" t="s">
        <v>37</v>
      </c>
      <c r="B3" s="23">
        <f>B5*B1*1000000</f>
        <v>1028</v>
      </c>
      <c r="C3" s="14" t="s">
        <v>54</v>
      </c>
      <c r="D3" s="34" t="s">
        <v>55</v>
      </c>
      <c r="E3" s="165"/>
    </row>
    <row r="4" spans="1:5" ht="14.4" x14ac:dyDescent="0.3">
      <c r="A4" s="12" t="s">
        <v>38</v>
      </c>
      <c r="B4" s="23">
        <f>B6*B2*1000000</f>
        <v>1028</v>
      </c>
      <c r="C4" s="14" t="s">
        <v>54</v>
      </c>
      <c r="D4" s="34" t="s">
        <v>56</v>
      </c>
      <c r="E4" s="165"/>
    </row>
    <row r="5" spans="1:5" ht="14.4" x14ac:dyDescent="0.3">
      <c r="A5" s="12" t="s">
        <v>39</v>
      </c>
      <c r="B5" s="27">
        <v>3.9999999999999998E-6</v>
      </c>
      <c r="C5" s="14" t="s">
        <v>28</v>
      </c>
      <c r="D5" s="34" t="s">
        <v>57</v>
      </c>
      <c r="E5" s="165"/>
    </row>
    <row r="6" spans="1:5" ht="14.4" x14ac:dyDescent="0.3">
      <c r="A6" s="12" t="s">
        <v>40</v>
      </c>
      <c r="B6" s="27">
        <v>3.9999999999999998E-6</v>
      </c>
      <c r="C6" s="14" t="s">
        <v>28</v>
      </c>
      <c r="D6" s="34" t="s">
        <v>58</v>
      </c>
      <c r="E6" s="165"/>
    </row>
    <row r="7" spans="1:5" ht="14.4" x14ac:dyDescent="0.3">
      <c r="A7" s="12" t="s">
        <v>41</v>
      </c>
      <c r="B7" s="22">
        <f>2*Bacteria!B3</f>
        <v>1.9999999999999999E-6</v>
      </c>
      <c r="C7" s="14" t="s">
        <v>28</v>
      </c>
      <c r="D7" s="34" t="s">
        <v>59</v>
      </c>
      <c r="E7" s="165"/>
    </row>
    <row r="8" spans="1:5" ht="15" thickBot="1" x14ac:dyDescent="0.35">
      <c r="A8" s="13" t="s">
        <v>53</v>
      </c>
      <c r="B8" s="28">
        <f>5*10^(-6)</f>
        <v>4.9999999999999996E-6</v>
      </c>
      <c r="C8" s="16" t="s">
        <v>28</v>
      </c>
      <c r="D8" s="35" t="s">
        <v>60</v>
      </c>
      <c r="E8" s="166"/>
    </row>
    <row r="9" spans="1:5" ht="14.4" customHeight="1" x14ac:dyDescent="0.3">
      <c r="A9" s="11" t="s">
        <v>70</v>
      </c>
      <c r="B9" s="29">
        <f>600*24</f>
        <v>14400</v>
      </c>
      <c r="C9" s="15" t="s">
        <v>34</v>
      </c>
      <c r="D9" s="36" t="s">
        <v>63</v>
      </c>
      <c r="E9" s="167" t="s">
        <v>69</v>
      </c>
    </row>
    <row r="10" spans="1:5" ht="14.4" customHeight="1" x14ac:dyDescent="0.3">
      <c r="A10" s="12" t="s">
        <v>73</v>
      </c>
      <c r="B10" s="26">
        <v>0.5</v>
      </c>
      <c r="C10" s="14" t="s">
        <v>31</v>
      </c>
      <c r="D10" s="34" t="s">
        <v>79</v>
      </c>
      <c r="E10" s="168"/>
    </row>
    <row r="11" spans="1:5" ht="14.4" x14ac:dyDescent="0.3">
      <c r="A11" s="12" t="s">
        <v>76</v>
      </c>
      <c r="B11" s="22">
        <f>$B$5^2 * B10 / MAX(Diffusion!$B:$B)</f>
        <v>1.511715797430083E-6</v>
      </c>
      <c r="C11" s="14" t="s">
        <v>34</v>
      </c>
      <c r="D11" s="34" t="s">
        <v>81</v>
      </c>
      <c r="E11" s="168"/>
    </row>
    <row r="12" spans="1:5" ht="14.4" x14ac:dyDescent="0.3">
      <c r="A12" s="12" t="s">
        <v>84</v>
      </c>
      <c r="B12" s="26">
        <v>0.05</v>
      </c>
      <c r="C12" s="14" t="s">
        <v>34</v>
      </c>
      <c r="D12" s="34" t="s">
        <v>85</v>
      </c>
      <c r="E12" s="168"/>
    </row>
    <row r="13" spans="1:5" ht="14.4" x14ac:dyDescent="0.3">
      <c r="A13" s="12" t="s">
        <v>64</v>
      </c>
      <c r="B13" s="30">
        <f>24*4</f>
        <v>96</v>
      </c>
      <c r="C13" s="14" t="s">
        <v>34</v>
      </c>
      <c r="D13" s="34" t="s">
        <v>66</v>
      </c>
      <c r="E13" s="168"/>
    </row>
    <row r="14" spans="1:5" ht="15" thickBot="1" x14ac:dyDescent="0.35">
      <c r="A14" s="13" t="s">
        <v>65</v>
      </c>
      <c r="B14" s="24">
        <f>B13*7</f>
        <v>672</v>
      </c>
      <c r="C14" s="47" t="s">
        <v>34</v>
      </c>
      <c r="D14" s="35" t="s">
        <v>67</v>
      </c>
      <c r="E14" s="169"/>
    </row>
    <row r="15" spans="1:5" ht="14.4" x14ac:dyDescent="0.3">
      <c r="A15" s="31" t="s">
        <v>88</v>
      </c>
      <c r="B15" s="57" t="b">
        <v>1</v>
      </c>
      <c r="C15" s="48" t="s">
        <v>31</v>
      </c>
      <c r="D15" s="37" t="s">
        <v>89</v>
      </c>
      <c r="E15" s="167" t="s">
        <v>102</v>
      </c>
    </row>
    <row r="16" spans="1:5" ht="14.4" x14ac:dyDescent="0.3">
      <c r="A16" s="12" t="s">
        <v>71</v>
      </c>
      <c r="B16" s="26">
        <v>0.01</v>
      </c>
      <c r="C16" s="14" t="s">
        <v>31</v>
      </c>
      <c r="D16" s="38" t="s">
        <v>77</v>
      </c>
      <c r="E16" s="168"/>
    </row>
    <row r="17" spans="1:5" ht="14.4" x14ac:dyDescent="0.3">
      <c r="A17" s="12" t="s">
        <v>74</v>
      </c>
      <c r="B17" s="22">
        <f>$B$5^2 * B16 / MAX(Diffusion!$B:$B)</f>
        <v>3.0234315948601663E-8</v>
      </c>
      <c r="C17" s="14" t="s">
        <v>34</v>
      </c>
      <c r="D17" s="38" t="s">
        <v>78</v>
      </c>
      <c r="E17" s="168"/>
    </row>
    <row r="18" spans="1:5" ht="14.4" x14ac:dyDescent="0.3">
      <c r="A18" s="12" t="s">
        <v>72</v>
      </c>
      <c r="B18" s="26">
        <v>0.4</v>
      </c>
      <c r="C18" s="14" t="s">
        <v>31</v>
      </c>
      <c r="D18" s="38" t="s">
        <v>221</v>
      </c>
      <c r="E18" s="168"/>
    </row>
    <row r="19" spans="1:5" ht="14.4" x14ac:dyDescent="0.3">
      <c r="A19" s="12" t="s">
        <v>75</v>
      </c>
      <c r="B19" s="22">
        <f>$B$5^2 * B18 / MAX(Diffusion!$B:$B)</f>
        <v>1.2093726379440665E-6</v>
      </c>
      <c r="C19" s="14" t="s">
        <v>34</v>
      </c>
      <c r="D19" s="38" t="s">
        <v>80</v>
      </c>
      <c r="E19" s="168"/>
    </row>
    <row r="20" spans="1:5" ht="14.4" x14ac:dyDescent="0.3">
      <c r="A20" s="12" t="s">
        <v>82</v>
      </c>
      <c r="B20" s="26">
        <v>0.05</v>
      </c>
      <c r="C20" s="14" t="s">
        <v>34</v>
      </c>
      <c r="D20" s="38" t="s">
        <v>86</v>
      </c>
      <c r="E20" s="168"/>
    </row>
    <row r="21" spans="1:5" ht="14.4" x14ac:dyDescent="0.3">
      <c r="A21" s="32" t="s">
        <v>83</v>
      </c>
      <c r="B21" s="33">
        <v>1</v>
      </c>
      <c r="C21" s="49" t="s">
        <v>34</v>
      </c>
      <c r="D21" s="39" t="s">
        <v>87</v>
      </c>
      <c r="E21" s="168"/>
    </row>
    <row r="22" spans="1:5" ht="28.8" x14ac:dyDescent="0.3">
      <c r="A22" s="12" t="s">
        <v>90</v>
      </c>
      <c r="B22" s="26">
        <v>3</v>
      </c>
      <c r="C22" s="50" t="s">
        <v>31</v>
      </c>
      <c r="D22" s="40" t="s">
        <v>96</v>
      </c>
      <c r="E22" s="168"/>
    </row>
    <row r="23" spans="1:5" ht="28.8" x14ac:dyDescent="0.3">
      <c r="A23" s="12" t="s">
        <v>93</v>
      </c>
      <c r="B23" s="26">
        <v>500</v>
      </c>
      <c r="C23" s="50" t="s">
        <v>31</v>
      </c>
      <c r="D23" s="40" t="s">
        <v>97</v>
      </c>
      <c r="E23" s="168"/>
    </row>
    <row r="24" spans="1:5" ht="28.8" x14ac:dyDescent="0.3">
      <c r="A24" s="12" t="s">
        <v>91</v>
      </c>
      <c r="B24" s="26">
        <v>200</v>
      </c>
      <c r="C24" s="50" t="s">
        <v>31</v>
      </c>
      <c r="D24" s="40" t="s">
        <v>98</v>
      </c>
      <c r="E24" s="168"/>
    </row>
    <row r="25" spans="1:5" ht="28.8" x14ac:dyDescent="0.3">
      <c r="A25" s="12" t="s">
        <v>92</v>
      </c>
      <c r="B25" s="26">
        <v>20</v>
      </c>
      <c r="C25" s="50" t="s">
        <v>31</v>
      </c>
      <c r="D25" s="40" t="s">
        <v>99</v>
      </c>
      <c r="E25" s="168"/>
    </row>
    <row r="26" spans="1:5" ht="28.8" x14ac:dyDescent="0.3">
      <c r="A26" s="12" t="s">
        <v>100</v>
      </c>
      <c r="B26" s="161">
        <v>0.2</v>
      </c>
      <c r="C26" s="50" t="s">
        <v>218</v>
      </c>
      <c r="D26" s="40" t="s">
        <v>220</v>
      </c>
      <c r="E26" s="168"/>
    </row>
    <row r="27" spans="1:5" ht="28.8" x14ac:dyDescent="0.3">
      <c r="A27" s="12" t="s">
        <v>94</v>
      </c>
      <c r="B27" s="42">
        <v>9.9999999999999995E-8</v>
      </c>
      <c r="C27" s="50" t="s">
        <v>218</v>
      </c>
      <c r="D27" s="40" t="s">
        <v>217</v>
      </c>
      <c r="E27" s="168"/>
    </row>
    <row r="28" spans="1:5" ht="29.4" thickBot="1" x14ac:dyDescent="0.35">
      <c r="A28" s="13" t="s">
        <v>95</v>
      </c>
      <c r="B28" s="43">
        <v>0.02</v>
      </c>
      <c r="C28" s="47" t="s">
        <v>31</v>
      </c>
      <c r="D28" s="41" t="s">
        <v>101</v>
      </c>
      <c r="E28" s="169"/>
    </row>
  </sheetData>
  <mergeCells count="3">
    <mergeCell ref="E1:E8"/>
    <mergeCell ref="E9:E14"/>
    <mergeCell ref="E15:E28"/>
  </mergeCells>
  <conditionalFormatting sqref="A16:D28">
    <cfRule type="expression" dxfId="65" priority="1">
      <formula>$B$15 = FALSE</formula>
    </cfRule>
  </conditionalFormatting>
  <dataValidations count="1">
    <dataValidation type="list" allowBlank="1" showInputMessage="1" showErrorMessage="1" sqref="B15" xr:uid="{B02285CC-B93F-41B6-9F0B-F56D7F2E2904}">
      <formula1>"TRUE, FALSE"</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B11" sqref="B11"/>
    </sheetView>
  </sheetViews>
  <sheetFormatPr defaultColWidth="11.44140625" defaultRowHeight="13.2" x14ac:dyDescent="0.25"/>
  <cols>
    <col min="1" max="1" width="21.44140625" style="1" bestFit="1" customWidth="1"/>
    <col min="2" max="2" width="12.6640625" style="1" bestFit="1" customWidth="1"/>
    <col min="3" max="3" width="12.109375" style="1" customWidth="1"/>
    <col min="4" max="4" width="69.44140625" style="1" customWidth="1"/>
    <col min="5" max="16384" width="11.44140625" style="1"/>
  </cols>
  <sheetData>
    <row r="1" spans="1:5" ht="14.4" x14ac:dyDescent="0.3">
      <c r="A1" s="12" t="s">
        <v>33</v>
      </c>
      <c r="B1" s="45">
        <v>10</v>
      </c>
      <c r="C1" s="14" t="s">
        <v>34</v>
      </c>
      <c r="D1" s="34" t="s">
        <v>112</v>
      </c>
      <c r="E1" s="4"/>
    </row>
    <row r="2" spans="1:5" ht="28.8" x14ac:dyDescent="0.3">
      <c r="A2" s="12" t="s">
        <v>106</v>
      </c>
      <c r="B2" s="45" t="b">
        <v>1</v>
      </c>
      <c r="C2" s="14" t="s">
        <v>31</v>
      </c>
      <c r="D2" s="34" t="s">
        <v>108</v>
      </c>
      <c r="E2" s="4"/>
    </row>
    <row r="3" spans="1:5" ht="14.4" x14ac:dyDescent="0.3">
      <c r="A3" s="12" t="s">
        <v>109</v>
      </c>
      <c r="B3" s="44">
        <f>20/(17*1000)</f>
        <v>1.176470588235294E-3</v>
      </c>
      <c r="C3" s="14" t="s">
        <v>21</v>
      </c>
      <c r="D3" s="34" t="s">
        <v>107</v>
      </c>
      <c r="E3" s="4"/>
    </row>
    <row r="4" spans="1:5" ht="43.2" x14ac:dyDescent="0.3">
      <c r="A4" s="32" t="s">
        <v>110</v>
      </c>
      <c r="B4" s="141" t="s">
        <v>8</v>
      </c>
      <c r="C4" s="49" t="s">
        <v>31</v>
      </c>
      <c r="D4" s="46" t="s">
        <v>191</v>
      </c>
      <c r="E4" s="4"/>
    </row>
    <row r="5" spans="1:5" ht="14.4" x14ac:dyDescent="0.3">
      <c r="A5" s="12" t="s">
        <v>4</v>
      </c>
      <c r="B5" s="25">
        <v>20</v>
      </c>
      <c r="C5" s="14" t="s">
        <v>1</v>
      </c>
      <c r="D5" s="34" t="s">
        <v>111</v>
      </c>
      <c r="E5" s="4"/>
    </row>
    <row r="6" spans="1:5" ht="14.4" x14ac:dyDescent="0.3">
      <c r="A6" s="12" t="s">
        <v>172</v>
      </c>
      <c r="B6" s="75">
        <f>B5+273.15</f>
        <v>293.14999999999998</v>
      </c>
      <c r="C6" s="14" t="s">
        <v>5</v>
      </c>
      <c r="D6" s="34" t="s">
        <v>171</v>
      </c>
      <c r="E6" s="4"/>
    </row>
    <row r="7" spans="1:5" ht="14.4" x14ac:dyDescent="0.3">
      <c r="A7" s="12" t="s">
        <v>105</v>
      </c>
      <c r="B7" s="76">
        <v>7.7</v>
      </c>
      <c r="C7" s="14" t="s">
        <v>31</v>
      </c>
      <c r="D7" s="34" t="s">
        <v>113</v>
      </c>
      <c r="E7" s="4"/>
    </row>
    <row r="8" spans="1:5" ht="43.2" x14ac:dyDescent="0.3">
      <c r="A8" s="12" t="s">
        <v>104</v>
      </c>
      <c r="B8" s="51">
        <f>B11/B12 * 4/3 * PI() *B10^3</f>
        <v>5.8904862254808626E-8</v>
      </c>
      <c r="C8" s="14" t="s">
        <v>32</v>
      </c>
      <c r="D8" s="34" t="s">
        <v>204</v>
      </c>
      <c r="E8" s="4"/>
    </row>
    <row r="9" spans="1:5" ht="14.4" x14ac:dyDescent="0.3">
      <c r="A9" s="12" t="s">
        <v>103</v>
      </c>
      <c r="B9" s="21">
        <f>8.3144/1000</f>
        <v>8.3143999999999996E-3</v>
      </c>
      <c r="C9" s="14" t="s">
        <v>173</v>
      </c>
      <c r="D9" s="34" t="s">
        <v>103</v>
      </c>
      <c r="E9" s="4"/>
    </row>
    <row r="10" spans="1:5" ht="26.4" x14ac:dyDescent="0.25">
      <c r="A10" s="142" t="s">
        <v>205</v>
      </c>
      <c r="B10" s="80">
        <f>750*10^(-6)</f>
        <v>7.5000000000000002E-4</v>
      </c>
      <c r="C10" s="14" t="s">
        <v>28</v>
      </c>
      <c r="D10" s="65" t="s">
        <v>206</v>
      </c>
    </row>
    <row r="11" spans="1:5" ht="14.4" x14ac:dyDescent="0.3">
      <c r="A11" s="12" t="s">
        <v>207</v>
      </c>
      <c r="B11" s="155">
        <v>100</v>
      </c>
      <c r="C11" s="14" t="s">
        <v>208</v>
      </c>
      <c r="D11" s="40" t="s">
        <v>209</v>
      </c>
      <c r="E11" s="4"/>
    </row>
    <row r="12" spans="1:5" ht="14.4" x14ac:dyDescent="0.3">
      <c r="A12" s="12" t="s">
        <v>210</v>
      </c>
      <c r="B12" s="155">
        <v>3</v>
      </c>
      <c r="C12" s="14" t="s">
        <v>208</v>
      </c>
      <c r="D12" s="40" t="s">
        <v>211</v>
      </c>
      <c r="E12" s="4"/>
    </row>
    <row r="13" spans="1:5" x14ac:dyDescent="0.25">
      <c r="A13"/>
      <c r="B13"/>
      <c r="C13"/>
      <c r="D13"/>
    </row>
    <row r="14" spans="1:5" x14ac:dyDescent="0.25">
      <c r="A14"/>
      <c r="B14"/>
      <c r="C14"/>
      <c r="D14"/>
    </row>
    <row r="15" spans="1:5" x14ac:dyDescent="0.25">
      <c r="A15"/>
      <c r="B15"/>
      <c r="C15"/>
      <c r="D15"/>
    </row>
    <row r="16" spans="1:5" x14ac:dyDescent="0.25">
      <c r="A16"/>
      <c r="B16"/>
      <c r="C16"/>
      <c r="D16"/>
    </row>
    <row r="17" spans="1:5" x14ac:dyDescent="0.25">
      <c r="A17"/>
      <c r="B17" s="162"/>
      <c r="C17"/>
      <c r="D17"/>
    </row>
    <row r="18" spans="1:5" x14ac:dyDescent="0.25">
      <c r="A18"/>
      <c r="B18"/>
      <c r="C18"/>
      <c r="D18"/>
      <c r="E18" s="18"/>
    </row>
    <row r="19" spans="1:5" x14ac:dyDescent="0.25">
      <c r="B19"/>
      <c r="C19"/>
      <c r="D19"/>
    </row>
    <row r="20" spans="1:5" x14ac:dyDescent="0.25">
      <c r="B20"/>
      <c r="C20"/>
      <c r="D20"/>
    </row>
    <row r="21" spans="1:5" x14ac:dyDescent="0.25">
      <c r="B21"/>
      <c r="C21"/>
      <c r="D21"/>
    </row>
    <row r="22" spans="1:5" x14ac:dyDescent="0.25">
      <c r="B22"/>
      <c r="C22"/>
      <c r="D22"/>
    </row>
    <row r="23" spans="1:5" x14ac:dyDescent="0.25">
      <c r="B23"/>
      <c r="C23"/>
      <c r="D23"/>
    </row>
    <row r="24" spans="1:5" x14ac:dyDescent="0.25">
      <c r="B24"/>
      <c r="C24"/>
      <c r="D24"/>
    </row>
    <row r="25" spans="1:5" x14ac:dyDescent="0.25">
      <c r="B25"/>
      <c r="C25"/>
      <c r="D25"/>
    </row>
    <row r="26" spans="1:5" x14ac:dyDescent="0.25">
      <c r="B26"/>
      <c r="C26"/>
      <c r="D26"/>
    </row>
    <row r="27" spans="1:5" x14ac:dyDescent="0.25">
      <c r="A27" s="4"/>
      <c r="B27"/>
      <c r="C27"/>
      <c r="D27"/>
    </row>
    <row r="28" spans="1:5" x14ac:dyDescent="0.25">
      <c r="B28"/>
      <c r="C28"/>
      <c r="D28"/>
    </row>
    <row r="29" spans="1:5" x14ac:dyDescent="0.25">
      <c r="B29"/>
      <c r="C29"/>
      <c r="D29"/>
    </row>
  </sheetData>
  <conditionalFormatting sqref="A3:D4">
    <cfRule type="expression" dxfId="64" priority="3">
      <formula>$B$2 = FALSE</formula>
    </cfRule>
  </conditionalFormatting>
  <conditionalFormatting sqref="A1:D1">
    <cfRule type="expression" dxfId="63" priority="1">
      <formula>$B$2=TRUE</formula>
    </cfRule>
  </conditionalFormatting>
  <dataValidations disablePrompts="1" count="1">
    <dataValidation type="list" allowBlank="1" showInputMessage="1" showErrorMessage="1" sqref="B2" xr:uid="{28F6C65E-A04D-4413-835D-DA466EDD340E}">
      <formula1>"TRUE, FALSE"</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
  <sheetViews>
    <sheetView tabSelected="1" workbookViewId="0">
      <selection activeCell="C19" sqref="C19"/>
    </sheetView>
  </sheetViews>
  <sheetFormatPr defaultColWidth="9.109375" defaultRowHeight="13.2" x14ac:dyDescent="0.25"/>
  <cols>
    <col min="1" max="1" width="37.6640625" style="1" bestFit="1" customWidth="1"/>
    <col min="2" max="2" width="13.88671875" style="1" customWidth="1"/>
    <col min="3" max="3" width="9.109375" style="1"/>
    <col min="4" max="4" width="79.6640625" style="1" customWidth="1"/>
    <col min="5" max="5" width="12.44140625" style="1" bestFit="1" customWidth="1"/>
    <col min="6" max="16384" width="9.109375" style="1"/>
  </cols>
  <sheetData>
    <row r="1" spans="1:4" ht="14.4" x14ac:dyDescent="0.25">
      <c r="A1" s="12" t="s">
        <v>117</v>
      </c>
      <c r="B1" s="22">
        <f>((4/3)*PI()*B3^3)*B4</f>
        <v>2.0943951023931951E-12</v>
      </c>
      <c r="C1" s="14" t="s">
        <v>0</v>
      </c>
      <c r="D1" s="53" t="s">
        <v>125</v>
      </c>
    </row>
    <row r="2" spans="1:4" ht="14.4" x14ac:dyDescent="0.25">
      <c r="A2" s="12" t="s">
        <v>118</v>
      </c>
      <c r="B2" s="22">
        <f>0.1*B1</f>
        <v>2.0943951023931951E-13</v>
      </c>
      <c r="C2" s="14" t="s">
        <v>0</v>
      </c>
      <c r="D2" s="53" t="s">
        <v>126</v>
      </c>
    </row>
    <row r="3" spans="1:4" ht="14.4" x14ac:dyDescent="0.25">
      <c r="A3" s="12" t="s">
        <v>119</v>
      </c>
      <c r="B3" s="54">
        <f>(1)*10^(-6)</f>
        <v>9.9999999999999995E-7</v>
      </c>
      <c r="C3" s="14" t="s">
        <v>28</v>
      </c>
      <c r="D3" s="53" t="s">
        <v>127</v>
      </c>
    </row>
    <row r="4" spans="1:4" ht="14.4" x14ac:dyDescent="0.25">
      <c r="A4" s="12" t="s">
        <v>120</v>
      </c>
      <c r="B4" s="54">
        <f>500*1000</f>
        <v>500000</v>
      </c>
      <c r="C4" s="14" t="s">
        <v>29</v>
      </c>
      <c r="D4" s="53" t="s">
        <v>128</v>
      </c>
    </row>
    <row r="5" spans="1:4" ht="14.4" x14ac:dyDescent="0.25">
      <c r="A5" s="12" t="s">
        <v>121</v>
      </c>
      <c r="B5" s="60">
        <v>24.6</v>
      </c>
      <c r="C5" s="14" t="s">
        <v>30</v>
      </c>
      <c r="D5" s="53" t="s">
        <v>129</v>
      </c>
    </row>
    <row r="6" spans="1:4" ht="14.4" x14ac:dyDescent="0.25">
      <c r="A6" s="61" t="s">
        <v>149</v>
      </c>
      <c r="B6" s="156" t="s">
        <v>150</v>
      </c>
      <c r="C6" s="63" t="s">
        <v>31</v>
      </c>
      <c r="D6" s="64" t="s">
        <v>212</v>
      </c>
    </row>
    <row r="7" spans="1:4" ht="14.4" x14ac:dyDescent="0.25">
      <c r="A7" s="12" t="s">
        <v>123</v>
      </c>
      <c r="B7" s="54">
        <f>100*10^(-6)</f>
        <v>9.9999999999999991E-5</v>
      </c>
      <c r="C7" s="14" t="s">
        <v>28</v>
      </c>
      <c r="D7" s="53" t="s">
        <v>131</v>
      </c>
    </row>
    <row r="8" spans="1:4" ht="28.8" x14ac:dyDescent="0.25">
      <c r="A8" s="12" t="s">
        <v>201</v>
      </c>
      <c r="B8" s="55">
        <f>_xlfn.CEILING.MATH((B7^2 / (0.8*B3 * B12)^2) * 0.75)</f>
        <v>5209</v>
      </c>
      <c r="C8" s="14" t="s">
        <v>31</v>
      </c>
      <c r="D8" s="53" t="s">
        <v>202</v>
      </c>
    </row>
    <row r="9" spans="1:4" ht="26.4" x14ac:dyDescent="0.25">
      <c r="A9" s="142" t="s">
        <v>213</v>
      </c>
      <c r="B9" s="55">
        <v>12</v>
      </c>
      <c r="C9" s="157" t="s">
        <v>31</v>
      </c>
      <c r="D9" s="154" t="s">
        <v>214</v>
      </c>
    </row>
    <row r="10" spans="1:4" ht="26.4" x14ac:dyDescent="0.25">
      <c r="A10" s="158" t="s">
        <v>215</v>
      </c>
      <c r="B10" s="159">
        <v>12</v>
      </c>
      <c r="C10" s="49" t="s">
        <v>31</v>
      </c>
      <c r="D10" s="59" t="s">
        <v>216</v>
      </c>
    </row>
    <row r="11" spans="1:4" ht="14.4" x14ac:dyDescent="0.25">
      <c r="A11" s="12" t="s">
        <v>124</v>
      </c>
      <c r="B11" s="54">
        <f>ROUND(((B16)^2)/((B3)^2),0)</f>
        <v>562500</v>
      </c>
      <c r="C11" s="14" t="s">
        <v>31</v>
      </c>
      <c r="D11" s="53" t="s">
        <v>132</v>
      </c>
    </row>
    <row r="12" spans="1:4" ht="28.8" x14ac:dyDescent="0.25">
      <c r="A12" s="12" t="s">
        <v>51</v>
      </c>
      <c r="B12" s="55">
        <v>1.5</v>
      </c>
      <c r="C12" s="14" t="s">
        <v>31</v>
      </c>
      <c r="D12" s="53" t="s">
        <v>133</v>
      </c>
    </row>
    <row r="13" spans="1:4" ht="28.8" x14ac:dyDescent="0.25">
      <c r="A13" s="12" t="s">
        <v>134</v>
      </c>
      <c r="B13" s="60" t="b">
        <v>1</v>
      </c>
      <c r="C13" s="14" t="s">
        <v>31</v>
      </c>
      <c r="D13" s="53" t="s">
        <v>135</v>
      </c>
    </row>
    <row r="14" spans="1:4" ht="14.4" x14ac:dyDescent="0.25">
      <c r="A14" s="61" t="s">
        <v>136</v>
      </c>
      <c r="B14" s="62" t="s">
        <v>222</v>
      </c>
      <c r="C14" s="63" t="s">
        <v>31</v>
      </c>
      <c r="D14" s="64" t="s">
        <v>139</v>
      </c>
    </row>
    <row r="15" spans="1:4" ht="14.4" x14ac:dyDescent="0.25">
      <c r="A15" s="12" t="s">
        <v>137</v>
      </c>
      <c r="B15" s="55">
        <v>1.5</v>
      </c>
      <c r="C15" s="14" t="s">
        <v>138</v>
      </c>
      <c r="D15" s="53" t="s">
        <v>140</v>
      </c>
    </row>
    <row r="16" spans="1:4" ht="28.8" x14ac:dyDescent="0.25">
      <c r="A16" s="32" t="s">
        <v>122</v>
      </c>
      <c r="B16" s="58">
        <f>Parameters!B10</f>
        <v>7.5000000000000002E-4</v>
      </c>
      <c r="C16" s="49" t="s">
        <v>28</v>
      </c>
      <c r="D16" s="59" t="s">
        <v>130</v>
      </c>
    </row>
    <row r="18" spans="3:5" x14ac:dyDescent="0.25">
      <c r="C18" s="18"/>
      <c r="D18" s="4"/>
      <c r="E18" s="4"/>
    </row>
    <row r="19" spans="3:5" x14ac:dyDescent="0.25">
      <c r="C19" s="4"/>
      <c r="D19" s="18"/>
      <c r="E19" s="4"/>
    </row>
    <row r="20" spans="3:5" x14ac:dyDescent="0.25">
      <c r="C20" s="4"/>
      <c r="D20" s="4"/>
      <c r="E20" s="18"/>
    </row>
  </sheetData>
  <conditionalFormatting sqref="A15:D15">
    <cfRule type="expression" dxfId="62" priority="4">
      <formula>$B$14&lt;&gt;"mechanistic"</formula>
    </cfRule>
  </conditionalFormatting>
  <conditionalFormatting sqref="A16:D16">
    <cfRule type="expression" dxfId="61" priority="3">
      <formula>$B$14&lt;&gt;"naive"</formula>
    </cfRule>
  </conditionalFormatting>
  <conditionalFormatting sqref="A9:D10">
    <cfRule type="expression" dxfId="60" priority="1">
      <formula>OR($B$6 = "granule", $B$6 = "mature granule")</formula>
    </cfRule>
  </conditionalFormatting>
  <conditionalFormatting sqref="A7:D8">
    <cfRule type="expression" dxfId="59" priority="2">
      <formula>$B$6 ="suspension"</formula>
    </cfRule>
  </conditionalFormatting>
  <dataValidations count="3">
    <dataValidation type="list" allowBlank="1" showInputMessage="1" showErrorMessage="1" sqref="B13" xr:uid="{21654694-75CE-4CB4-9924-9A78774FC81E}">
      <formula1>"TRUE, FALSE"</formula1>
    </dataValidation>
    <dataValidation type="list" allowBlank="1" showInputMessage="1" showErrorMessage="1" sqref="B14" xr:uid="{4DDD9001-5761-4829-8EA1-79ABE1C087CD}">
      <formula1>"mechanistic, naive, none, SBR"</formula1>
    </dataValidation>
    <dataValidation type="list" allowBlank="1" showInputMessage="1" showErrorMessage="1" sqref="B6" xr:uid="{CD881138-FCD6-4CD2-ACEB-053A159620FB}">
      <formula1>"granule, suspension, mature granule"</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7"/>
  <sheetViews>
    <sheetView workbookViewId="0">
      <selection activeCell="D15" sqref="D15"/>
    </sheetView>
  </sheetViews>
  <sheetFormatPr defaultColWidth="9.109375" defaultRowHeight="13.2" x14ac:dyDescent="0.25"/>
  <cols>
    <col min="1" max="1" width="9.109375" style="1"/>
    <col min="2" max="2" width="12" style="1" bestFit="1" customWidth="1"/>
    <col min="3" max="3" width="9.109375" style="1" customWidth="1"/>
    <col min="4" max="4" width="12.88671875" style="1" customWidth="1"/>
    <col min="5" max="5" width="23.33203125" style="1" customWidth="1"/>
    <col min="6" max="6" width="9.109375" style="1"/>
    <col min="7" max="7" width="11.44140625" style="1" bestFit="1" customWidth="1"/>
    <col min="8" max="16384" width="9.109375" style="1"/>
  </cols>
  <sheetData>
    <row r="1" spans="1:5" ht="14.4" x14ac:dyDescent="0.3">
      <c r="A1" s="12" t="s">
        <v>8</v>
      </c>
      <c r="B1" s="44">
        <f>1.957*10^(-9)*3600*0.7</f>
        <v>4.9316400000000006E-6</v>
      </c>
      <c r="C1" s="14" t="s">
        <v>42</v>
      </c>
      <c r="D1" s="34" t="s">
        <v>114</v>
      </c>
      <c r="E1" s="170" t="s">
        <v>115</v>
      </c>
    </row>
    <row r="2" spans="1:5" ht="14.4" x14ac:dyDescent="0.3">
      <c r="A2" s="12" t="s">
        <v>9</v>
      </c>
      <c r="B2" s="44">
        <f>1.912*10^(-9)*3600*0.7</f>
        <v>4.8182400000000001E-6</v>
      </c>
      <c r="C2" s="14" t="s">
        <v>42</v>
      </c>
      <c r="D2" s="34" t="s">
        <v>114</v>
      </c>
      <c r="E2" s="170"/>
    </row>
    <row r="3" spans="1:5" ht="14.4" x14ac:dyDescent="0.3">
      <c r="A3" s="12" t="s">
        <v>14</v>
      </c>
      <c r="B3" s="44">
        <f>1.902*10^(-9)*3600*0.7</f>
        <v>4.7930399999999991E-6</v>
      </c>
      <c r="C3" s="14" t="s">
        <v>42</v>
      </c>
      <c r="D3" s="34" t="s">
        <v>114</v>
      </c>
      <c r="E3" s="170"/>
    </row>
    <row r="4" spans="1:5" ht="14.4" x14ac:dyDescent="0.3">
      <c r="A4" s="12" t="s">
        <v>15</v>
      </c>
      <c r="B4" s="44">
        <f>2.1*10^(-9)*3600*0.7</f>
        <v>5.2920000000000003E-6</v>
      </c>
      <c r="C4" s="14" t="s">
        <v>42</v>
      </c>
      <c r="D4" s="34" t="s">
        <v>114</v>
      </c>
      <c r="E4" s="170"/>
    </row>
    <row r="5" spans="1:5" ht="14.4" x14ac:dyDescent="0.3">
      <c r="A5" s="12" t="s">
        <v>16</v>
      </c>
      <c r="B5" s="44">
        <f>1.92*10^(-9)*3600*0.7</f>
        <v>4.8384000000000001E-6</v>
      </c>
      <c r="C5" s="14" t="s">
        <v>42</v>
      </c>
      <c r="D5" s="34" t="s">
        <v>114</v>
      </c>
      <c r="E5" s="170"/>
    </row>
    <row r="6" spans="1:5" ht="14.4" x14ac:dyDescent="0.3">
      <c r="A6" s="12" t="s">
        <v>17</v>
      </c>
      <c r="B6" s="44">
        <f>1.385*10^(-9)*3600*0.7</f>
        <v>3.4902000000000001E-6</v>
      </c>
      <c r="C6" s="14" t="s">
        <v>42</v>
      </c>
      <c r="D6" s="34" t="s">
        <v>114</v>
      </c>
      <c r="E6" s="170"/>
    </row>
    <row r="7" spans="1:5" ht="15" thickBot="1" x14ac:dyDescent="0.35">
      <c r="A7" s="13" t="s">
        <v>18</v>
      </c>
      <c r="B7" s="52">
        <f>1.334*10^(-9)*3600*0.7</f>
        <v>3.3616800000000002E-6</v>
      </c>
      <c r="C7" s="16" t="s">
        <v>42</v>
      </c>
      <c r="D7" s="35" t="s">
        <v>114</v>
      </c>
      <c r="E7" s="171"/>
    </row>
  </sheetData>
  <mergeCells count="1">
    <mergeCell ref="E1:E7"/>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2"/>
  <sheetViews>
    <sheetView zoomScaleNormal="100" workbookViewId="0">
      <selection activeCell="D25" sqref="D25"/>
    </sheetView>
  </sheetViews>
  <sheetFormatPr defaultColWidth="11.44140625" defaultRowHeight="13.2" x14ac:dyDescent="0.25"/>
  <cols>
    <col min="1" max="1" width="31.33203125" bestFit="1" customWidth="1"/>
    <col min="4" max="4" width="73.6640625" customWidth="1"/>
  </cols>
  <sheetData>
    <row r="1" spans="1:4" ht="14.4" x14ac:dyDescent="0.25">
      <c r="A1" s="12" t="s">
        <v>147</v>
      </c>
      <c r="B1" s="54">
        <v>1E-8</v>
      </c>
      <c r="C1" s="14" t="s">
        <v>21</v>
      </c>
      <c r="D1" s="53" t="s">
        <v>148</v>
      </c>
    </row>
    <row r="2" spans="1:4" ht="14.4" x14ac:dyDescent="0.25">
      <c r="A2" s="12" t="s">
        <v>151</v>
      </c>
      <c r="B2" s="55" t="b">
        <v>1</v>
      </c>
      <c r="C2" s="14" t="s">
        <v>31</v>
      </c>
      <c r="D2" s="53" t="s">
        <v>153</v>
      </c>
    </row>
    <row r="3" spans="1:4" ht="14.4" x14ac:dyDescent="0.25">
      <c r="A3" s="12" t="s">
        <v>116</v>
      </c>
      <c r="B3" s="54">
        <v>1.0000000000000001E-15</v>
      </c>
      <c r="C3" s="14" t="s">
        <v>31</v>
      </c>
      <c r="D3" s="53" t="s">
        <v>152</v>
      </c>
    </row>
    <row r="4" spans="1:4" ht="14.4" x14ac:dyDescent="0.25">
      <c r="A4" s="12" t="s">
        <v>183</v>
      </c>
      <c r="B4" s="55" t="b">
        <v>1</v>
      </c>
      <c r="C4" s="14" t="s">
        <v>31</v>
      </c>
      <c r="D4" s="53" t="s">
        <v>184</v>
      </c>
    </row>
    <row r="5" spans="1:4" ht="28.8" x14ac:dyDescent="0.25">
      <c r="A5" s="12" t="s">
        <v>154</v>
      </c>
      <c r="B5" s="55" t="b">
        <v>1</v>
      </c>
      <c r="C5" s="14" t="s">
        <v>31</v>
      </c>
      <c r="D5" s="53" t="s">
        <v>189</v>
      </c>
    </row>
    <row r="6" spans="1:4" ht="28.8" x14ac:dyDescent="0.25">
      <c r="A6" s="12" t="s">
        <v>155</v>
      </c>
      <c r="B6" s="54">
        <v>1E-8</v>
      </c>
      <c r="C6" s="14" t="s">
        <v>31</v>
      </c>
      <c r="D6" s="53" t="s">
        <v>156</v>
      </c>
    </row>
    <row r="7" spans="1:4" ht="28.8" x14ac:dyDescent="0.25">
      <c r="A7" s="12" t="s">
        <v>141</v>
      </c>
      <c r="B7" s="160">
        <v>0.05</v>
      </c>
      <c r="C7" s="14" t="s">
        <v>218</v>
      </c>
      <c r="D7" s="53" t="s">
        <v>219</v>
      </c>
    </row>
    <row r="8" spans="1:4" ht="14.4" x14ac:dyDescent="0.25">
      <c r="A8" s="12" t="s">
        <v>142</v>
      </c>
      <c r="B8" s="55" t="s">
        <v>143</v>
      </c>
      <c r="C8" s="14" t="s">
        <v>31</v>
      </c>
      <c r="D8" s="53" t="s">
        <v>146</v>
      </c>
    </row>
    <row r="9" spans="1:4" ht="14.4" x14ac:dyDescent="0.25">
      <c r="A9" s="12" t="s">
        <v>144</v>
      </c>
      <c r="B9" s="55">
        <v>2</v>
      </c>
      <c r="C9" s="14" t="s">
        <v>31</v>
      </c>
      <c r="D9" s="53" t="s">
        <v>145</v>
      </c>
    </row>
    <row r="10" spans="1:4" ht="28.8" x14ac:dyDescent="0.25">
      <c r="A10" s="32" t="s">
        <v>157</v>
      </c>
      <c r="B10" s="151" t="b">
        <v>0</v>
      </c>
      <c r="C10" s="152" t="s">
        <v>31</v>
      </c>
      <c r="D10" s="153" t="s">
        <v>158</v>
      </c>
    </row>
    <row r="11" spans="1:4" ht="14.4" x14ac:dyDescent="0.25">
      <c r="A11" s="12" t="s">
        <v>186</v>
      </c>
      <c r="B11" s="55" t="b">
        <v>0</v>
      </c>
      <c r="C11" s="50" t="s">
        <v>31</v>
      </c>
      <c r="D11" s="65" t="s">
        <v>187</v>
      </c>
    </row>
    <row r="12" spans="1:4" ht="28.8" x14ac:dyDescent="0.25">
      <c r="A12" s="12" t="s">
        <v>185</v>
      </c>
      <c r="B12" s="55" t="s">
        <v>46</v>
      </c>
      <c r="C12" s="50" t="s">
        <v>31</v>
      </c>
      <c r="D12" s="65" t="s">
        <v>188</v>
      </c>
    </row>
  </sheetData>
  <conditionalFormatting sqref="A3:D4">
    <cfRule type="expression" dxfId="58" priority="2">
      <formula>$B$2=FALSE</formula>
    </cfRule>
  </conditionalFormatting>
  <conditionalFormatting sqref="A12:D12">
    <cfRule type="expression" dxfId="57" priority="1">
      <formula>$B$11=FALSE</formula>
    </cfRule>
  </conditionalFormatting>
  <dataValidations count="3">
    <dataValidation type="list" allowBlank="1" showInputMessage="1" showErrorMessage="1" sqref="B8" xr:uid="{A49C7C3F-F289-4E9E-93BF-BE4D6D78B296}">
      <formula1>"max, mean, norm"</formula1>
    </dataValidation>
    <dataValidation type="list" allowBlank="1" showInputMessage="1" showErrorMessage="1" sqref="B2 B4:B5 B10:B11" xr:uid="{84E938EB-3DC7-476B-8ED7-970048E4677C}">
      <formula1>"TRUE, FALSE"</formula1>
    </dataValidation>
    <dataValidation type="list" allowBlank="1" showInputMessage="1" showErrorMessage="1" sqref="B12" xr:uid="{54BD5B48-48D3-4918-B933-84192454EDAB}">
      <formula1>"Neut,Comp,Comm,Copr"</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
  <sheetViews>
    <sheetView workbookViewId="0">
      <selection activeCell="B1" sqref="B1"/>
    </sheetView>
  </sheetViews>
  <sheetFormatPr defaultColWidth="9.109375" defaultRowHeight="13.2" x14ac:dyDescent="0.25"/>
  <cols>
    <col min="1" max="3" width="9.109375" style="1"/>
    <col min="4" max="4" width="4.44140625" style="1" customWidth="1"/>
    <col min="5" max="5" width="62.5546875" style="1" customWidth="1"/>
    <col min="6" max="16384" width="9.109375" style="1"/>
  </cols>
  <sheetData>
    <row r="1" spans="1:10" x14ac:dyDescent="0.25">
      <c r="A1" s="12" t="s">
        <v>8</v>
      </c>
      <c r="B1" s="54">
        <f>40/(17*1000)</f>
        <v>2.352941176470588E-3</v>
      </c>
      <c r="C1" s="14" t="s">
        <v>21</v>
      </c>
      <c r="D1" s="66" t="s">
        <v>3</v>
      </c>
      <c r="E1" s="172" t="s">
        <v>160</v>
      </c>
      <c r="F1" s="4"/>
      <c r="G1" s="4"/>
      <c r="H1" s="4"/>
      <c r="I1" s="4"/>
      <c r="J1" s="4"/>
    </row>
    <row r="2" spans="1:10" x14ac:dyDescent="0.25">
      <c r="A2" s="12" t="s">
        <v>9</v>
      </c>
      <c r="B2" s="54">
        <v>0</v>
      </c>
      <c r="C2" s="14" t="s">
        <v>21</v>
      </c>
      <c r="D2" s="66" t="s">
        <v>3</v>
      </c>
      <c r="E2" s="172"/>
      <c r="F2" s="4"/>
      <c r="G2" s="4"/>
      <c r="H2" s="4"/>
      <c r="I2" s="4"/>
      <c r="J2" s="4"/>
    </row>
    <row r="3" spans="1:10" x14ac:dyDescent="0.25">
      <c r="A3" s="12" t="s">
        <v>14</v>
      </c>
      <c r="B3" s="54">
        <v>0</v>
      </c>
      <c r="C3" s="14" t="s">
        <v>21</v>
      </c>
      <c r="D3" s="66" t="s">
        <v>3</v>
      </c>
      <c r="E3" s="172"/>
      <c r="F3" s="4"/>
      <c r="G3" s="4"/>
      <c r="H3" s="4"/>
      <c r="I3" s="4"/>
      <c r="J3" s="4"/>
    </row>
    <row r="4" spans="1:10" x14ac:dyDescent="0.25">
      <c r="A4" s="12" t="s">
        <v>15</v>
      </c>
      <c r="B4" s="54">
        <f>6/(32*1000)</f>
        <v>1.875E-4</v>
      </c>
      <c r="C4" s="14" t="s">
        <v>21</v>
      </c>
      <c r="D4" s="66" t="s">
        <v>24</v>
      </c>
      <c r="E4" s="172"/>
      <c r="F4" s="4"/>
      <c r="G4" s="4"/>
      <c r="H4" s="4"/>
      <c r="I4" s="4"/>
      <c r="J4" s="4"/>
    </row>
    <row r="5" spans="1:10" x14ac:dyDescent="0.25">
      <c r="A5" s="12" t="s">
        <v>16</v>
      </c>
      <c r="B5" s="54">
        <v>1E-3</v>
      </c>
      <c r="C5" s="14" t="s">
        <v>21</v>
      </c>
      <c r="D5" s="66" t="s">
        <v>24</v>
      </c>
      <c r="E5" s="172"/>
      <c r="F5" s="18"/>
      <c r="G5" s="4"/>
      <c r="H5" s="4"/>
      <c r="I5" s="4"/>
      <c r="J5" s="4"/>
    </row>
    <row r="6" spans="1:10" x14ac:dyDescent="0.25">
      <c r="A6" s="12" t="s">
        <v>17</v>
      </c>
      <c r="B6" s="54">
        <f>B1/2</f>
        <v>1.176470588235294E-3</v>
      </c>
      <c r="C6" s="14" t="s">
        <v>21</v>
      </c>
      <c r="D6" s="66" t="s">
        <v>24</v>
      </c>
      <c r="E6" s="172"/>
      <c r="F6" s="18"/>
      <c r="G6" s="4"/>
      <c r="H6" s="4"/>
      <c r="I6" s="4"/>
      <c r="J6" s="4"/>
    </row>
    <row r="7" spans="1:10" x14ac:dyDescent="0.25">
      <c r="A7" s="12" t="s">
        <v>18</v>
      </c>
      <c r="B7" s="54">
        <f>B5</f>
        <v>1E-3</v>
      </c>
      <c r="C7" s="14" t="s">
        <v>21</v>
      </c>
      <c r="D7" s="66" t="s">
        <v>24</v>
      </c>
      <c r="E7" s="172"/>
      <c r="F7" s="4"/>
      <c r="G7" s="4"/>
      <c r="H7" s="4"/>
      <c r="I7" s="4"/>
      <c r="J7" s="4"/>
    </row>
    <row r="13" spans="1:10" x14ac:dyDescent="0.25">
      <c r="A13" s="4"/>
      <c r="B13" s="4"/>
      <c r="C13" s="4"/>
      <c r="D13" s="4"/>
      <c r="E13" s="4"/>
      <c r="F13" s="4"/>
      <c r="G13" s="4"/>
      <c r="H13" s="4"/>
      <c r="I13" s="4"/>
      <c r="J13" s="5"/>
    </row>
    <row r="16" spans="1:10" x14ac:dyDescent="0.25">
      <c r="A16" s="4"/>
      <c r="B16" s="4"/>
      <c r="C16" s="4"/>
      <c r="D16" s="4"/>
      <c r="E16" s="4"/>
      <c r="F16" s="4"/>
      <c r="G16" s="4"/>
      <c r="H16" s="5"/>
      <c r="I16" s="4"/>
      <c r="J16" s="4"/>
    </row>
  </sheetData>
  <mergeCells count="1">
    <mergeCell ref="E1:E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
  <sheetViews>
    <sheetView workbookViewId="0">
      <selection activeCell="B2" sqref="B2"/>
    </sheetView>
  </sheetViews>
  <sheetFormatPr defaultColWidth="11.44140625" defaultRowHeight="13.2" x14ac:dyDescent="0.25"/>
  <cols>
    <col min="1" max="2" width="11.44140625" style="1"/>
    <col min="3" max="3" width="7.5546875" style="1" customWidth="1"/>
    <col min="4" max="4" width="75.44140625" style="1" customWidth="1"/>
    <col min="5" max="6" width="11.44140625" style="1"/>
    <col min="7" max="7" width="12" style="1" bestFit="1" customWidth="1"/>
    <col min="8" max="16384" width="11.44140625" style="1"/>
  </cols>
  <sheetData>
    <row r="1" spans="1:10" ht="15" customHeight="1" x14ac:dyDescent="0.25">
      <c r="A1" s="12" t="s">
        <v>8</v>
      </c>
      <c r="B1" s="54">
        <f>Influent!B1/2</f>
        <v>1.176470588235294E-3</v>
      </c>
      <c r="C1" s="14" t="s">
        <v>21</v>
      </c>
      <c r="D1" s="173" t="s">
        <v>159</v>
      </c>
      <c r="E1" s="4"/>
      <c r="F1" s="4"/>
      <c r="G1" s="4"/>
    </row>
    <row r="2" spans="1:10" ht="15" customHeight="1" x14ac:dyDescent="0.25">
      <c r="A2" s="12" t="s">
        <v>9</v>
      </c>
      <c r="B2" s="54">
        <f>B1</f>
        <v>1.176470588235294E-3</v>
      </c>
      <c r="C2" s="14" t="s">
        <v>21</v>
      </c>
      <c r="D2" s="173"/>
      <c r="E2" s="4"/>
      <c r="F2" s="4"/>
      <c r="G2" s="4"/>
    </row>
    <row r="3" spans="1:10" ht="15" customHeight="1" x14ac:dyDescent="0.25">
      <c r="A3" s="12" t="s">
        <v>14</v>
      </c>
      <c r="B3" s="54">
        <v>9.9999999999999995E-7</v>
      </c>
      <c r="C3" s="14" t="s">
        <v>21</v>
      </c>
      <c r="D3" s="173"/>
      <c r="E3" s="4"/>
      <c r="F3" s="4"/>
      <c r="G3" s="4"/>
    </row>
    <row r="4" spans="1:10" ht="15" customHeight="1" x14ac:dyDescent="0.25">
      <c r="A4" s="12" t="s">
        <v>15</v>
      </c>
      <c r="B4" s="54">
        <f>Influent!B4/100</f>
        <v>1.875E-6</v>
      </c>
      <c r="C4" s="14" t="s">
        <v>21</v>
      </c>
      <c r="D4" s="173"/>
      <c r="E4" s="4"/>
      <c r="F4" s="4"/>
      <c r="G4" s="4"/>
    </row>
    <row r="5" spans="1:10" ht="15" customHeight="1" x14ac:dyDescent="0.25">
      <c r="A5" s="12" t="s">
        <v>16</v>
      </c>
      <c r="B5" s="54">
        <f>Influent!B5</f>
        <v>1E-3</v>
      </c>
      <c r="C5" s="14" t="s">
        <v>21</v>
      </c>
      <c r="D5" s="173"/>
      <c r="E5" s="4"/>
      <c r="F5" s="4"/>
      <c r="G5" s="4"/>
    </row>
    <row r="6" spans="1:10" ht="15" customHeight="1" x14ac:dyDescent="0.25">
      <c r="A6" s="32" t="s">
        <v>17</v>
      </c>
      <c r="B6" s="58">
        <f>B1/2</f>
        <v>5.8823529411764701E-4</v>
      </c>
      <c r="C6" s="49" t="s">
        <v>21</v>
      </c>
      <c r="D6" s="173"/>
      <c r="E6" s="4"/>
      <c r="F6" s="4"/>
      <c r="G6" s="4"/>
    </row>
    <row r="7" spans="1:10" ht="15" customHeight="1" x14ac:dyDescent="0.25">
      <c r="A7" s="72" t="s">
        <v>18</v>
      </c>
      <c r="B7" s="73">
        <f>B5</f>
        <v>1E-3</v>
      </c>
      <c r="C7" s="74" t="s">
        <v>21</v>
      </c>
      <c r="D7" s="173"/>
      <c r="E7" s="4"/>
      <c r="F7" s="67"/>
      <c r="G7" s="67"/>
      <c r="H7" s="68"/>
      <c r="I7" s="68"/>
      <c r="J7" s="68"/>
    </row>
    <row r="8" spans="1:10" x14ac:dyDescent="0.25">
      <c r="E8" s="4"/>
      <c r="F8" s="69"/>
      <c r="G8" s="70"/>
      <c r="H8" s="71"/>
      <c r="I8" s="69"/>
      <c r="J8" s="68"/>
    </row>
    <row r="10" spans="1:10" x14ac:dyDescent="0.25">
      <c r="A10" s="4"/>
      <c r="B10" s="4"/>
      <c r="C10" s="4"/>
      <c r="D10" s="4"/>
      <c r="E10" s="4"/>
      <c r="F10" s="4"/>
      <c r="G10" s="18"/>
    </row>
  </sheetData>
  <mergeCells count="1">
    <mergeCell ref="D1:D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3"/>
  <sheetViews>
    <sheetView workbookViewId="0">
      <selection activeCell="F28" sqref="F28"/>
    </sheetView>
  </sheetViews>
  <sheetFormatPr defaultColWidth="11.44140625" defaultRowHeight="13.8" x14ac:dyDescent="0.25"/>
  <cols>
    <col min="1" max="2" width="11.44140625" customWidth="1"/>
    <col min="3" max="6" width="14.33203125" style="10" customWidth="1"/>
    <col min="7" max="7" width="14.109375" style="6" customWidth="1"/>
    <col min="8" max="8" width="3.5546875" style="7" customWidth="1"/>
    <col min="9" max="9" width="27.88671875" customWidth="1"/>
  </cols>
  <sheetData>
    <row r="1" spans="1:9" ht="27" thickBot="1" x14ac:dyDescent="0.3">
      <c r="A1" s="83" t="s">
        <v>25</v>
      </c>
      <c r="B1" s="84" t="s">
        <v>165</v>
      </c>
      <c r="C1" s="84" t="s">
        <v>161</v>
      </c>
      <c r="D1" s="85" t="s">
        <v>162</v>
      </c>
      <c r="E1" s="84" t="s">
        <v>163</v>
      </c>
      <c r="F1" s="85" t="s">
        <v>164</v>
      </c>
      <c r="G1" s="85" t="s">
        <v>179</v>
      </c>
    </row>
    <row r="2" spans="1:9" ht="13.2" x14ac:dyDescent="0.25">
      <c r="A2" s="11" t="s">
        <v>8</v>
      </c>
      <c r="B2" s="93" t="s">
        <v>26</v>
      </c>
      <c r="C2" s="93">
        <v>-79.37</v>
      </c>
      <c r="D2" s="93">
        <v>-26.57</v>
      </c>
      <c r="E2" s="93" t="s">
        <v>26</v>
      </c>
      <c r="F2" s="93" t="s">
        <v>26</v>
      </c>
      <c r="G2" s="90">
        <v>3</v>
      </c>
      <c r="H2" s="86" t="s">
        <v>22</v>
      </c>
      <c r="I2" s="173" t="s">
        <v>180</v>
      </c>
    </row>
    <row r="3" spans="1:9" ht="13.2" x14ac:dyDescent="0.25">
      <c r="A3" s="12" t="s">
        <v>9</v>
      </c>
      <c r="B3" s="93" t="s">
        <v>26</v>
      </c>
      <c r="C3" s="93">
        <v>-50.6</v>
      </c>
      <c r="D3" s="93">
        <v>-32.200000000000003</v>
      </c>
      <c r="E3" s="93" t="s">
        <v>26</v>
      </c>
      <c r="F3" s="93" t="s">
        <v>26</v>
      </c>
      <c r="G3" s="91">
        <v>2</v>
      </c>
      <c r="H3" s="87" t="s">
        <v>22</v>
      </c>
      <c r="I3" s="173"/>
    </row>
    <row r="4" spans="1:9" ht="13.2" x14ac:dyDescent="0.25">
      <c r="A4" s="12" t="s">
        <v>14</v>
      </c>
      <c r="B4" s="93" t="s">
        <v>26</v>
      </c>
      <c r="C4" s="93">
        <v>-103.7</v>
      </c>
      <c r="D4" s="93">
        <v>-111.3</v>
      </c>
      <c r="E4" s="93" t="s">
        <v>26</v>
      </c>
      <c r="F4" s="93" t="s">
        <v>26</v>
      </c>
      <c r="G4" s="91">
        <v>2</v>
      </c>
      <c r="H4" s="87" t="s">
        <v>22</v>
      </c>
      <c r="I4" s="173"/>
    </row>
    <row r="5" spans="1:9" ht="13.2" x14ac:dyDescent="0.25">
      <c r="A5" s="12" t="s">
        <v>15</v>
      </c>
      <c r="B5" s="93" t="s">
        <v>26</v>
      </c>
      <c r="C5" s="93">
        <v>16.399999999999999</v>
      </c>
      <c r="D5" s="93" t="s">
        <v>26</v>
      </c>
      <c r="E5" s="93" t="s">
        <v>26</v>
      </c>
      <c r="F5" s="93" t="s">
        <v>26</v>
      </c>
      <c r="G5" s="91">
        <v>2</v>
      </c>
      <c r="H5" s="87" t="s">
        <v>22</v>
      </c>
      <c r="I5" s="173"/>
    </row>
    <row r="6" spans="1:9" ht="13.2" x14ac:dyDescent="0.25">
      <c r="A6" s="12" t="s">
        <v>16</v>
      </c>
      <c r="B6" s="93">
        <f>-386</f>
        <v>-386</v>
      </c>
      <c r="C6" s="93">
        <v>-623.16</v>
      </c>
      <c r="D6" s="93">
        <v>-586.85</v>
      </c>
      <c r="E6" s="93">
        <v>-527.79999999999995</v>
      </c>
      <c r="F6" s="93" t="s">
        <v>26</v>
      </c>
      <c r="G6" s="91">
        <v>3</v>
      </c>
      <c r="H6" s="87" t="s">
        <v>22</v>
      </c>
      <c r="I6" s="173"/>
    </row>
    <row r="7" spans="1:9" ht="13.2" x14ac:dyDescent="0.25">
      <c r="A7" s="12" t="s">
        <v>17</v>
      </c>
      <c r="B7" s="97" t="s">
        <v>26</v>
      </c>
      <c r="C7" s="97">
        <v>-755.9</v>
      </c>
      <c r="D7" s="97">
        <f>-180.69*4.184</f>
        <v>-756.00696000000005</v>
      </c>
      <c r="E7" s="97">
        <f>-177.97*4.184</f>
        <v>-744.62648000000002</v>
      </c>
      <c r="F7" s="97" t="s">
        <v>26</v>
      </c>
      <c r="G7" s="92">
        <v>4</v>
      </c>
      <c r="H7" s="9" t="s">
        <v>22</v>
      </c>
      <c r="I7" s="173"/>
    </row>
    <row r="8" spans="1:9" s="6" customFormat="1" ht="13.2" x14ac:dyDescent="0.25">
      <c r="A8" s="72" t="s">
        <v>18</v>
      </c>
      <c r="B8" s="99" t="s">
        <v>26</v>
      </c>
      <c r="C8" s="99">
        <v>0</v>
      </c>
      <c r="D8" s="99" t="s">
        <v>26</v>
      </c>
      <c r="E8" s="99" t="s">
        <v>26</v>
      </c>
      <c r="F8" s="100" t="s">
        <v>26</v>
      </c>
      <c r="G8" s="119">
        <v>2</v>
      </c>
      <c r="H8" s="8" t="s">
        <v>22</v>
      </c>
      <c r="I8" s="173"/>
    </row>
    <row r="9" spans="1:9" s="6" customFormat="1" ht="13.2" x14ac:dyDescent="0.25">
      <c r="A9" s="32" t="s">
        <v>19</v>
      </c>
      <c r="B9" s="101" t="s">
        <v>26</v>
      </c>
      <c r="C9" s="99">
        <v>0</v>
      </c>
      <c r="D9" s="99" t="s">
        <v>26</v>
      </c>
      <c r="E9" s="99" t="s">
        <v>26</v>
      </c>
      <c r="F9" s="100" t="s">
        <v>26</v>
      </c>
      <c r="G9" s="119">
        <v>2</v>
      </c>
      <c r="H9" s="17" t="s">
        <v>23</v>
      </c>
      <c r="I9" s="173"/>
    </row>
    <row r="10" spans="1:9" s="6" customFormat="1" ht="13.2" x14ac:dyDescent="0.25">
      <c r="A10" s="81" t="s">
        <v>20</v>
      </c>
      <c r="B10" s="98" t="s">
        <v>26</v>
      </c>
      <c r="C10" s="98">
        <v>-237.18</v>
      </c>
      <c r="D10" s="98">
        <v>-157.30000000000001</v>
      </c>
      <c r="E10" s="98" t="s">
        <v>26</v>
      </c>
      <c r="F10" s="98" t="s">
        <v>26</v>
      </c>
      <c r="G10" s="118">
        <v>2</v>
      </c>
      <c r="H10" s="8" t="s">
        <v>22</v>
      </c>
      <c r="I10" s="173"/>
    </row>
    <row r="11" spans="1:9" s="6" customFormat="1" thickBot="1" x14ac:dyDescent="0.3">
      <c r="A11" s="82" t="s">
        <v>2</v>
      </c>
      <c r="B11" s="93" t="s">
        <v>26</v>
      </c>
      <c r="C11" s="93">
        <v>0</v>
      </c>
      <c r="D11" s="93" t="s">
        <v>26</v>
      </c>
      <c r="E11" s="93" t="s">
        <v>26</v>
      </c>
      <c r="F11" s="93" t="s">
        <v>26</v>
      </c>
      <c r="G11" s="92">
        <v>2</v>
      </c>
      <c r="H11" s="9" t="s">
        <v>22</v>
      </c>
      <c r="I11" s="173"/>
    </row>
    <row r="12" spans="1:9" s="6" customFormat="1" ht="28.2" customHeight="1" thickBot="1" x14ac:dyDescent="0.3">
      <c r="A12" s="83" t="s">
        <v>25</v>
      </c>
      <c r="B12" s="88" t="s">
        <v>167</v>
      </c>
      <c r="C12" s="88" t="s">
        <v>168</v>
      </c>
      <c r="D12" s="89" t="s">
        <v>169</v>
      </c>
      <c r="E12" s="88" t="s">
        <v>170</v>
      </c>
      <c r="H12" s="7"/>
    </row>
    <row r="13" spans="1:9" s="6" customFormat="1" ht="13.2" x14ac:dyDescent="0.25">
      <c r="A13" s="11" t="s">
        <v>8</v>
      </c>
      <c r="B13" s="94">
        <f>IF(COUNT(B2,C2)=2, EXP(($C$10+B2-C2)/-(Parameters!$B$9*Parameters!$B$6)), 0)</f>
        <v>0</v>
      </c>
      <c r="C13" s="78">
        <f>IF(COUNT(C2,D2)=2, EXP((D2-C2)/-(Parameters!$B$9*Parameters!$B$6)), 0)</f>
        <v>3.9083870641861443E-10</v>
      </c>
      <c r="D13" s="94">
        <f>IF(COUNT(D2,E2)=2, EXP((E2-D2)/-(Parameters!$B$9*Parameters!$B$6)), 0)</f>
        <v>0</v>
      </c>
      <c r="E13" s="94">
        <f>IF(COUNT(E2,F2)=2, EXP((F2-E2)/-(Parameters!$B$9*Parameters!$B$6)), 0)</f>
        <v>0</v>
      </c>
      <c r="H13" s="7"/>
      <c r="I13" s="172" t="s">
        <v>181</v>
      </c>
    </row>
    <row r="14" spans="1:9" s="6" customFormat="1" ht="13.2" x14ac:dyDescent="0.25">
      <c r="A14" s="12" t="s">
        <v>9</v>
      </c>
      <c r="B14" s="94">
        <f>IF(COUNT(B3,C3)=2, EXP(($C$10+B3-C3)/-(Parameters!$B$9*Parameters!$B$6)), 0)</f>
        <v>0</v>
      </c>
      <c r="C14" s="78">
        <f>IF(COUNT(C3,D3)=2, EXP((D3-C3)/-(Parameters!$B$9*Parameters!$B$6)), 0)</f>
        <v>5.2656707191475868E-4</v>
      </c>
      <c r="D14" s="94">
        <f>IF(COUNT(D3,E3)=2, EXP((E3-D3)/-(Parameters!$B$9*Parameters!$B$6)), 0)</f>
        <v>0</v>
      </c>
      <c r="E14" s="94">
        <f>IF(COUNT(E3,F3)=2, EXP((F3-E3)/-(Parameters!$B$9*Parameters!$B$6)), 0)</f>
        <v>0</v>
      </c>
      <c r="H14" s="7"/>
      <c r="I14" s="172"/>
    </row>
    <row r="15" spans="1:9" s="6" customFormat="1" ht="13.2" x14ac:dyDescent="0.25">
      <c r="A15" s="12" t="s">
        <v>14</v>
      </c>
      <c r="B15" s="94">
        <f>IF(COUNT(B4,C4)=2, EXP(($C$10+B4-C4)/-(Parameters!$B$9*Parameters!$B$6)), 0)</f>
        <v>0</v>
      </c>
      <c r="C15" s="78">
        <f>IF(COUNT(C4,D4)=2, EXP((D4-C4)/-(Parameters!$B$9*Parameters!$B$6)), 0)</f>
        <v>22.603837077490315</v>
      </c>
      <c r="D15" s="94">
        <f>IF(COUNT(D4,E4)=2, EXP((E4-D4)/-(Parameters!$B$9*Parameters!$B$6)), 0)</f>
        <v>0</v>
      </c>
      <c r="E15" s="94">
        <f>IF(COUNT(E4,F4)=2, EXP((F4-E4)/-(Parameters!$B$9*Parameters!$B$6)), 0)</f>
        <v>0</v>
      </c>
      <c r="H15" s="7"/>
      <c r="I15" s="172"/>
    </row>
    <row r="16" spans="1:9" ht="13.2" x14ac:dyDescent="0.25">
      <c r="A16" s="12" t="s">
        <v>15</v>
      </c>
      <c r="B16" s="94">
        <f>IF(COUNT(B5,C5)=2, EXP(($C$10+B5-C5)/-(Parameters!$B$9*Parameters!$B$6)), 0)</f>
        <v>0</v>
      </c>
      <c r="C16" s="94">
        <f>IF(COUNT(C5,D5)=2, EXP((D5-C5)/-(Parameters!$B$9*Parameters!$B$6)), 0)</f>
        <v>0</v>
      </c>
      <c r="D16" s="94">
        <f>IF(COUNT(D5,E5)=2, EXP((E5-D5)/-(Parameters!$B$9*Parameters!$B$6)), 0)</f>
        <v>0</v>
      </c>
      <c r="E16" s="94">
        <f>IF(COUNT(E5,F5)=2, EXP((F5-E5)/-(Parameters!$B$9*Parameters!$B$6)), 0)</f>
        <v>0</v>
      </c>
      <c r="F16" s="6"/>
      <c r="I16" s="172"/>
    </row>
    <row r="17" spans="1:9" ht="13.2" x14ac:dyDescent="0.25">
      <c r="A17" s="12" t="s">
        <v>16</v>
      </c>
      <c r="B17" s="95">
        <f>1/0.0017</f>
        <v>588.23529411764707</v>
      </c>
      <c r="C17" s="78">
        <f>IF(COUNT(C6,D6)=2, EXP((D6-C6)/-(Parameters!$B$9*Parameters!$B$6)), 0)</f>
        <v>3.3901312221699524E-7</v>
      </c>
      <c r="D17" s="78">
        <f>IF(COUNT(D6,E6)=2, EXP((E6-D6)/-(Parameters!$B$9*Parameters!$B$6)), 0)</f>
        <v>3.008575507210982E-11</v>
      </c>
      <c r="E17" s="94">
        <f>IF(COUNT(E6,F6)=2, EXP((F6-E6)/-(Parameters!$B$9*Parameters!$B$6)), 0)</f>
        <v>0</v>
      </c>
      <c r="F17" s="6"/>
      <c r="I17" s="172"/>
    </row>
    <row r="18" spans="1:9" ht="13.2" x14ac:dyDescent="0.25">
      <c r="A18" s="32" t="s">
        <v>17</v>
      </c>
      <c r="B18" s="103">
        <f>IF(COUNT(B7,C7)=2, EXP(($C$10+B7-C7)/-(Parameters!$B$9*Parameters!$B$6)), 0)</f>
        <v>0</v>
      </c>
      <c r="C18" s="116">
        <v>100</v>
      </c>
      <c r="D18" s="117">
        <f>10^(-1.92)</f>
        <v>1.2022644346174125E-2</v>
      </c>
      <c r="E18" s="104">
        <f>IF(COUNT(E7,F7)=2, EXP((F7-E7)/-(Parameters!$B$9*Parameters!$B$6)), 0)</f>
        <v>0</v>
      </c>
      <c r="F18" s="6"/>
      <c r="H18" s="6"/>
      <c r="I18" s="172"/>
    </row>
    <row r="19" spans="1:9" ht="13.2" x14ac:dyDescent="0.25">
      <c r="A19" s="72" t="s">
        <v>18</v>
      </c>
      <c r="B19" s="114">
        <f>IF(COUNT(B8,C8)=2, EXP(($C$10+B8-C8)/-(Parameters!$B$9*Parameters!$B$6)), 0)</f>
        <v>0</v>
      </c>
      <c r="C19" s="115">
        <f>IF(COUNT(C8,D8)=2, EXP((D8-C8)/-(Parameters!$B$9*Parameters!$B$6)), 0)</f>
        <v>0</v>
      </c>
      <c r="D19" s="115">
        <f>IF(COUNT(D8,E8)=2, EXP((E8-D8)/-(Parameters!$B$9*Parameters!$B$6)), 0)</f>
        <v>0</v>
      </c>
      <c r="E19" s="115">
        <f>IF(COUNT(E8,F8)=2, EXP((F8-E8)/-(Parameters!$B$9*Parameters!$B$6)), 0)</f>
        <v>0</v>
      </c>
      <c r="F19" s="6"/>
      <c r="H19" s="6"/>
      <c r="I19" s="172"/>
    </row>
    <row r="20" spans="1:9" ht="13.2" x14ac:dyDescent="0.25">
      <c r="A20" s="72" t="s">
        <v>19</v>
      </c>
      <c r="B20" s="105">
        <f>IF(COUNT(B9,C9)=2, EXP(($C$10+B9-C9)/-(Parameters!$B$9*Parameters!$B$6)), 0)</f>
        <v>0</v>
      </c>
      <c r="C20" s="106">
        <f>IF(COUNT(C9,D9)=2, EXP((D9-C9)/-(Parameters!$B$9*Parameters!$B$6)), 0)</f>
        <v>0</v>
      </c>
      <c r="D20" s="106">
        <f>IF(COUNT(D9,E9)=2, EXP((E9-D9)/-(Parameters!$B$9*Parameters!$B$6)), 0)</f>
        <v>0</v>
      </c>
      <c r="E20" s="106">
        <f>IF(COUNT(E9,F9)=2, EXP((F9-E9)/-(Parameters!$B$9*Parameters!$B$6)), 0)</f>
        <v>0</v>
      </c>
      <c r="F20" s="6"/>
      <c r="H20" s="6"/>
      <c r="I20" s="172"/>
    </row>
    <row r="21" spans="1:9" ht="13.2" x14ac:dyDescent="0.25">
      <c r="A21" s="81" t="s">
        <v>20</v>
      </c>
      <c r="B21" s="102">
        <f>IF(COUNT(B10,C10)=2, EXP(($C$10+B10-C10)/-(Parameters!$B$9*Parameters!$B$6)), 0)</f>
        <v>0</v>
      </c>
      <c r="C21" s="42">
        <f>IF(COUNT(C10,D10)=2, EXP((D10-C10)/-(Parameters!$B$9*Parameters!$B$6)), 0)</f>
        <v>5.845648305092005E-15</v>
      </c>
      <c r="D21" s="102">
        <f>IF(COUNT(D10,E10)=2, EXP((E10-D10)/-(Parameters!$B$9*Parameters!$B$6)), 0)</f>
        <v>0</v>
      </c>
      <c r="E21" s="102">
        <f>IF(COUNT(E10,F10)=2, EXP((F10-E10)/-(Parameters!$B$9*Parameters!$B$6)), 0)</f>
        <v>0</v>
      </c>
      <c r="F21" s="6"/>
      <c r="H21" s="6"/>
      <c r="I21" s="172"/>
    </row>
    <row r="22" spans="1:9" thickBot="1" x14ac:dyDescent="0.3">
      <c r="A22" s="82" t="s">
        <v>2</v>
      </c>
      <c r="B22" s="94">
        <f>IF(COUNT(B11,C11)=2, EXP(($C$10+B11-C11)/-(Parameters!$B$9*Parameters!$B$6)), 0)</f>
        <v>0</v>
      </c>
      <c r="C22" s="94">
        <f>IF(COUNT(C11,D11)=2, EXP((D11-C11)/-(Parameters!$B$9*Parameters!$B$6)), 0)</f>
        <v>0</v>
      </c>
      <c r="D22" s="94">
        <f>IF(COUNT(D11,E11)=2, EXP((E11-D11)/-(Parameters!$B$9*Parameters!$B$6)), 0)</f>
        <v>0</v>
      </c>
      <c r="E22" s="94">
        <f>IF(COUNT(E11,F11)=2, EXP((F11-E11)/-(Parameters!$B$9*Parameters!$B$6)), 0)</f>
        <v>0</v>
      </c>
      <c r="F22" s="6"/>
      <c r="I22" s="172"/>
    </row>
    <row r="23" spans="1:9" ht="28.2" customHeight="1" thickBot="1" x14ac:dyDescent="0.3">
      <c r="A23" s="174" t="s">
        <v>166</v>
      </c>
      <c r="B23" s="175"/>
      <c r="C23" s="175"/>
      <c r="D23" s="175"/>
      <c r="E23" s="175"/>
      <c r="F23" s="176"/>
    </row>
    <row r="24" spans="1:9" ht="13.2" x14ac:dyDescent="0.25">
      <c r="A24" s="11" t="s">
        <v>8</v>
      </c>
      <c r="B24" s="96" t="s">
        <v>27</v>
      </c>
      <c r="C24" s="96">
        <v>1</v>
      </c>
      <c r="D24" s="96">
        <v>0</v>
      </c>
      <c r="E24" s="96" t="s">
        <v>27</v>
      </c>
      <c r="F24" s="96" t="s">
        <v>27</v>
      </c>
      <c r="I24" s="172" t="s">
        <v>182</v>
      </c>
    </row>
    <row r="25" spans="1:9" ht="13.2" x14ac:dyDescent="0.25">
      <c r="A25" s="12" t="s">
        <v>9</v>
      </c>
      <c r="B25" s="96" t="s">
        <v>27</v>
      </c>
      <c r="C25" s="96">
        <v>0</v>
      </c>
      <c r="D25" s="96">
        <v>-1</v>
      </c>
      <c r="E25" s="96" t="s">
        <v>27</v>
      </c>
      <c r="F25" s="96" t="s">
        <v>27</v>
      </c>
      <c r="I25" s="172"/>
    </row>
    <row r="26" spans="1:9" ht="13.2" x14ac:dyDescent="0.25">
      <c r="A26" s="12" t="s">
        <v>14</v>
      </c>
      <c r="B26" s="96" t="s">
        <v>27</v>
      </c>
      <c r="C26" s="96">
        <v>0</v>
      </c>
      <c r="D26" s="96">
        <v>-1</v>
      </c>
      <c r="E26" s="96" t="s">
        <v>27</v>
      </c>
      <c r="F26" s="96" t="s">
        <v>27</v>
      </c>
      <c r="I26" s="172"/>
    </row>
    <row r="27" spans="1:9" ht="13.2" x14ac:dyDescent="0.25">
      <c r="A27" s="12" t="s">
        <v>15</v>
      </c>
      <c r="B27" s="96" t="s">
        <v>27</v>
      </c>
      <c r="C27" s="96">
        <v>0</v>
      </c>
      <c r="D27" s="96" t="s">
        <v>27</v>
      </c>
      <c r="E27" s="96" t="s">
        <v>27</v>
      </c>
      <c r="F27" s="96" t="s">
        <v>27</v>
      </c>
      <c r="I27" s="172"/>
    </row>
    <row r="28" spans="1:9" ht="13.2" x14ac:dyDescent="0.25">
      <c r="A28" s="12" t="s">
        <v>16</v>
      </c>
      <c r="B28" s="96">
        <v>0</v>
      </c>
      <c r="C28" s="96">
        <v>0</v>
      </c>
      <c r="D28" s="96">
        <v>-1</v>
      </c>
      <c r="E28" s="96">
        <v>-2</v>
      </c>
      <c r="F28" s="96" t="s">
        <v>27</v>
      </c>
      <c r="I28" s="172"/>
    </row>
    <row r="29" spans="1:9" ht="13.2" x14ac:dyDescent="0.25">
      <c r="A29" s="32" t="s">
        <v>17</v>
      </c>
      <c r="B29" s="108" t="s">
        <v>27</v>
      </c>
      <c r="C29" s="109">
        <v>0</v>
      </c>
      <c r="D29" s="109">
        <v>-1</v>
      </c>
      <c r="E29" s="109">
        <v>-2</v>
      </c>
      <c r="F29" s="109" t="s">
        <v>27</v>
      </c>
      <c r="I29" s="172"/>
    </row>
    <row r="30" spans="1:9" ht="13.2" x14ac:dyDescent="0.25">
      <c r="A30" s="72" t="s">
        <v>18</v>
      </c>
      <c r="B30" s="112" t="s">
        <v>27</v>
      </c>
      <c r="C30" s="113">
        <v>1</v>
      </c>
      <c r="D30" s="113" t="s">
        <v>27</v>
      </c>
      <c r="E30" s="113" t="s">
        <v>27</v>
      </c>
      <c r="F30" s="113" t="s">
        <v>27</v>
      </c>
      <c r="I30" s="172"/>
    </row>
    <row r="31" spans="1:9" ht="13.2" x14ac:dyDescent="0.25">
      <c r="A31" s="72" t="s">
        <v>19</v>
      </c>
      <c r="B31" s="110" t="s">
        <v>27</v>
      </c>
      <c r="C31" s="111">
        <v>0</v>
      </c>
      <c r="D31" s="111" t="s">
        <v>27</v>
      </c>
      <c r="E31" s="111" t="s">
        <v>27</v>
      </c>
      <c r="F31" s="111" t="s">
        <v>27</v>
      </c>
      <c r="I31" s="172"/>
    </row>
    <row r="32" spans="1:9" ht="13.2" x14ac:dyDescent="0.25">
      <c r="A32" s="81" t="s">
        <v>20</v>
      </c>
      <c r="B32" s="107" t="s">
        <v>27</v>
      </c>
      <c r="C32" s="107">
        <v>0</v>
      </c>
      <c r="D32" s="107">
        <v>-1</v>
      </c>
      <c r="E32" s="107" t="s">
        <v>27</v>
      </c>
      <c r="F32" s="107" t="s">
        <v>27</v>
      </c>
      <c r="I32" s="172"/>
    </row>
    <row r="33" spans="1:9" thickBot="1" x14ac:dyDescent="0.3">
      <c r="A33" s="82" t="s">
        <v>2</v>
      </c>
      <c r="B33" s="96" t="s">
        <v>27</v>
      </c>
      <c r="C33" s="96">
        <v>1</v>
      </c>
      <c r="D33" s="96" t="s">
        <v>27</v>
      </c>
      <c r="E33" s="96" t="s">
        <v>27</v>
      </c>
      <c r="F33" s="96" t="s">
        <v>27</v>
      </c>
      <c r="I33" s="172"/>
    </row>
  </sheetData>
  <mergeCells count="4">
    <mergeCell ref="A23:F23"/>
    <mergeCell ref="I2:I11"/>
    <mergeCell ref="I13:I22"/>
    <mergeCell ref="I24:I33"/>
  </mergeCells>
  <conditionalFormatting sqref="B2:F11 B24:F33 B13:E17 B19:E22 B18 D18:E18">
    <cfRule type="containsText" dxfId="56" priority="54" operator="containsText" text="NA">
      <formula>NOT(ISERROR(SEARCH("NA",B2)))</formula>
    </cfRule>
    <cfRule type="containsText" dxfId="55" priority="55" operator="containsText" text="Inf">
      <formula>NOT(ISERROR(SEARCH("Inf",B2)))</formula>
    </cfRule>
  </conditionalFormatting>
  <conditionalFormatting sqref="B13:E17 B19:E22 B18 D18:E18">
    <cfRule type="cellIs" dxfId="54" priority="1" operator="equal">
      <formula>0</formula>
    </cfRule>
  </conditionalFormatting>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F689-441D-42D9-88AF-5DCF32002981}">
  <dimension ref="A1:E8"/>
  <sheetViews>
    <sheetView workbookViewId="0">
      <selection activeCell="E16" sqref="E16"/>
    </sheetView>
  </sheetViews>
  <sheetFormatPr defaultRowHeight="13.2" x14ac:dyDescent="0.25"/>
  <cols>
    <col min="1" max="1" width="11.33203125" bestFit="1" customWidth="1"/>
    <col min="2" max="4" width="11.6640625" customWidth="1"/>
    <col min="5" max="5" width="56" customWidth="1"/>
  </cols>
  <sheetData>
    <row r="1" spans="1:5" ht="13.95" customHeight="1" thickBot="1" x14ac:dyDescent="0.3">
      <c r="A1" s="3"/>
      <c r="B1" s="77" t="s">
        <v>8</v>
      </c>
      <c r="C1" s="77" t="s">
        <v>9</v>
      </c>
      <c r="D1" s="77" t="s">
        <v>15</v>
      </c>
      <c r="E1" s="164" t="s">
        <v>178</v>
      </c>
    </row>
    <row r="2" spans="1:5" ht="13.2" customHeight="1" x14ac:dyDescent="0.25">
      <c r="A2" s="11" t="s">
        <v>7</v>
      </c>
      <c r="B2" s="163">
        <f>1.4529*10^(-6)</f>
        <v>1.4529000000000001E-6</v>
      </c>
      <c r="C2" s="163">
        <v>0</v>
      </c>
      <c r="D2" s="163">
        <f>3.606*10^(-6)</f>
        <v>3.6059999999999999E-6</v>
      </c>
      <c r="E2" s="164"/>
    </row>
    <row r="3" spans="1:5" ht="13.2" customHeight="1" x14ac:dyDescent="0.25">
      <c r="A3" s="12" t="s">
        <v>223</v>
      </c>
      <c r="B3" s="163">
        <v>0</v>
      </c>
      <c r="C3" s="163">
        <f>4.447*10^(-9)</f>
        <v>4.447E-9</v>
      </c>
      <c r="D3" s="163">
        <f>7.813*10^(-6)</f>
        <v>7.8129999999999996E-6</v>
      </c>
      <c r="E3" s="164"/>
    </row>
    <row r="4" spans="1:5" ht="13.2" customHeight="1" x14ac:dyDescent="0.25">
      <c r="A4" s="12" t="s">
        <v>224</v>
      </c>
      <c r="B4" s="163">
        <v>0</v>
      </c>
      <c r="C4" s="163">
        <f>8.894*10^(-11)</f>
        <v>8.8939999999999992E-11</v>
      </c>
      <c r="D4" s="163">
        <f>2.594*10^(-6)</f>
        <v>2.5939999999999996E-6</v>
      </c>
      <c r="E4" s="164"/>
    </row>
    <row r="5" spans="1:5" ht="13.2" customHeight="1" x14ac:dyDescent="0.25">
      <c r="A5" s="12" t="s">
        <v>225</v>
      </c>
      <c r="B5" s="163">
        <v>0</v>
      </c>
      <c r="C5" s="163">
        <f>1.119*10^(-9)</f>
        <v>1.119E-9</v>
      </c>
      <c r="D5" s="163">
        <f>2.594*10^(-6)</f>
        <v>2.5939999999999996E-6</v>
      </c>
      <c r="E5" s="164"/>
    </row>
    <row r="6" spans="1:5" ht="13.95" customHeight="1" thickBot="1" x14ac:dyDescent="0.3">
      <c r="A6" s="13" t="s">
        <v>10</v>
      </c>
      <c r="B6" s="163">
        <f>4.118*10^(-7)</f>
        <v>4.1180000000000002E-7</v>
      </c>
      <c r="C6" s="163">
        <f>1.632*10^(-11)</f>
        <v>1.6319999999999998E-11</v>
      </c>
      <c r="D6" s="163">
        <v>0</v>
      </c>
      <c r="E6" s="164"/>
    </row>
    <row r="7" spans="1:5" ht="13.2" customHeight="1" x14ac:dyDescent="0.25">
      <c r="E7" s="140"/>
    </row>
    <row r="8" spans="1:5" ht="13.2" customHeight="1" x14ac:dyDescent="0.25">
      <c r="E8" s="140"/>
    </row>
  </sheetData>
  <mergeCells count="1">
    <mergeCell ref="E1:E6"/>
  </mergeCells>
  <phoneticPr fontId="18" type="noConversion"/>
  <conditionalFormatting sqref="B2:D8">
    <cfRule type="cellIs" dxfId="53" priority="1" operator="equal">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FAE86-699B-425D-9552-4ABBD32F0DFA}">
  <dimension ref="A1:E6"/>
  <sheetViews>
    <sheetView workbookViewId="0">
      <selection activeCell="E15" sqref="E15"/>
    </sheetView>
  </sheetViews>
  <sheetFormatPr defaultRowHeight="13.2" x14ac:dyDescent="0.25"/>
  <cols>
    <col min="1" max="1" width="11.33203125" bestFit="1" customWidth="1"/>
    <col min="2" max="3" width="11.6640625" customWidth="1"/>
    <col min="4" max="4" width="12" customWidth="1"/>
    <col min="5" max="5" width="47.88671875" customWidth="1"/>
  </cols>
  <sheetData>
    <row r="1" spans="1:5" ht="15" customHeight="1" thickBot="1" x14ac:dyDescent="0.3">
      <c r="A1" s="3"/>
      <c r="B1" s="77" t="s">
        <v>8</v>
      </c>
      <c r="C1" s="77" t="s">
        <v>9</v>
      </c>
      <c r="D1" s="77" t="s">
        <v>15</v>
      </c>
      <c r="E1" s="164" t="s">
        <v>177</v>
      </c>
    </row>
    <row r="2" spans="1:5" ht="13.2" customHeight="1" x14ac:dyDescent="0.25">
      <c r="A2" s="11" t="s">
        <v>7</v>
      </c>
      <c r="B2" s="163">
        <v>0</v>
      </c>
      <c r="C2" s="163">
        <f>1.17*10^(-5)</f>
        <v>1.17E-5</v>
      </c>
      <c r="D2" s="163">
        <v>0</v>
      </c>
      <c r="E2" s="164"/>
    </row>
    <row r="3" spans="1:5" ht="13.2" customHeight="1" x14ac:dyDescent="0.25">
      <c r="A3" s="12" t="s">
        <v>223</v>
      </c>
      <c r="B3" s="163">
        <f>1.521*10^(-3)</f>
        <v>1.521E-3</v>
      </c>
      <c r="C3" s="163">
        <v>0</v>
      </c>
      <c r="D3" s="163">
        <v>0</v>
      </c>
      <c r="E3" s="164"/>
    </row>
    <row r="4" spans="1:5" ht="13.2" customHeight="1" x14ac:dyDescent="0.25">
      <c r="A4" s="12" t="s">
        <v>224</v>
      </c>
      <c r="B4" s="163">
        <f>1.3*10^(-4)</f>
        <v>1.3000000000000002E-4</v>
      </c>
      <c r="C4" s="163">
        <v>0</v>
      </c>
      <c r="D4" s="163">
        <v>0</v>
      </c>
      <c r="E4" s="164"/>
    </row>
    <row r="5" spans="1:5" ht="13.2" customHeight="1" x14ac:dyDescent="0.25">
      <c r="A5" s="12" t="s">
        <v>225</v>
      </c>
      <c r="B5" s="163">
        <f>8.643*10^(-4)</f>
        <v>8.6430000000000014E-4</v>
      </c>
      <c r="C5" s="163">
        <v>0</v>
      </c>
      <c r="D5" s="163">
        <v>0</v>
      </c>
      <c r="E5" s="164"/>
    </row>
    <row r="6" spans="1:5" ht="13.2" customHeight="1" thickBot="1" x14ac:dyDescent="0.3">
      <c r="A6" s="13" t="s">
        <v>10</v>
      </c>
      <c r="B6" s="163">
        <v>0</v>
      </c>
      <c r="C6" s="163">
        <v>0</v>
      </c>
      <c r="D6" s="163">
        <f>3.125*10^(-7)</f>
        <v>3.1249999999999997E-7</v>
      </c>
      <c r="E6" s="164"/>
    </row>
  </sheetData>
  <mergeCells count="1">
    <mergeCell ref="E1:E6"/>
  </mergeCells>
  <conditionalFormatting sqref="B2:D6">
    <cfRule type="cellIs" dxfId="52" priority="1" operator="equal">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FA51-252D-42F9-AC75-BD3B676D8AD2}">
  <dimension ref="A1:F6"/>
  <sheetViews>
    <sheetView zoomScaleNormal="100" workbookViewId="0">
      <selection activeCell="F14" sqref="F14"/>
    </sheetView>
  </sheetViews>
  <sheetFormatPr defaultRowHeight="13.2" x14ac:dyDescent="0.25"/>
  <cols>
    <col min="1" max="1" width="11.33203125" bestFit="1" customWidth="1"/>
    <col min="2" max="2" width="11.6640625" customWidth="1"/>
    <col min="3" max="3" width="8.6640625" customWidth="1"/>
    <col min="4" max="4" width="14.6640625" customWidth="1"/>
    <col min="5" max="5" width="17.44140625" customWidth="1"/>
    <col min="6" max="6" width="105" customWidth="1"/>
  </cols>
  <sheetData>
    <row r="1" spans="1:6" ht="13.8" thickBot="1" x14ac:dyDescent="0.3">
      <c r="B1" s="77" t="s">
        <v>176</v>
      </c>
      <c r="C1" s="77" t="s">
        <v>6</v>
      </c>
      <c r="D1" s="77" t="s">
        <v>174</v>
      </c>
      <c r="E1" s="77" t="s">
        <v>175</v>
      </c>
      <c r="F1" s="173" t="s">
        <v>203</v>
      </c>
    </row>
    <row r="2" spans="1:6" ht="13.2" customHeight="1" x14ac:dyDescent="0.25">
      <c r="A2" s="11" t="s">
        <v>7</v>
      </c>
      <c r="B2" s="78">
        <f>0.0415</f>
        <v>4.1500000000000002E-2</v>
      </c>
      <c r="C2" s="79" t="s">
        <v>8</v>
      </c>
      <c r="D2" s="80"/>
      <c r="E2" s="80"/>
      <c r="F2" s="173"/>
    </row>
    <row r="3" spans="1:6" ht="13.2" customHeight="1" x14ac:dyDescent="0.25">
      <c r="A3" s="12" t="s">
        <v>223</v>
      </c>
      <c r="B3" s="78">
        <v>2.07E-2</v>
      </c>
      <c r="C3" s="79" t="s">
        <v>9</v>
      </c>
      <c r="D3" s="80"/>
      <c r="E3" s="80"/>
      <c r="F3" s="173"/>
    </row>
    <row r="4" spans="1:6" ht="13.2" customHeight="1" x14ac:dyDescent="0.25">
      <c r="A4" s="12" t="s">
        <v>224</v>
      </c>
      <c r="B4" s="78">
        <v>2.07E-2</v>
      </c>
      <c r="C4" s="79" t="s">
        <v>9</v>
      </c>
      <c r="D4" s="80"/>
      <c r="E4" s="80"/>
      <c r="F4" s="173"/>
    </row>
    <row r="5" spans="1:6" ht="13.2" customHeight="1" x14ac:dyDescent="0.25">
      <c r="A5" s="12" t="s">
        <v>225</v>
      </c>
      <c r="B5" s="78">
        <v>2.07E-2</v>
      </c>
      <c r="C5" s="79" t="s">
        <v>9</v>
      </c>
      <c r="D5" s="80"/>
      <c r="E5" s="80"/>
      <c r="F5" s="173"/>
    </row>
    <row r="6" spans="1:6" ht="13.2" customHeight="1" thickBot="1" x14ac:dyDescent="0.3">
      <c r="A6" s="13" t="s">
        <v>10</v>
      </c>
      <c r="B6" s="78">
        <f>0.066</f>
        <v>6.6000000000000003E-2</v>
      </c>
      <c r="C6" s="79" t="s">
        <v>8</v>
      </c>
      <c r="D6" s="80"/>
      <c r="E6" s="80"/>
      <c r="F6" s="173"/>
    </row>
  </sheetData>
  <mergeCells count="1">
    <mergeCell ref="F1:F6"/>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2"/>
  <sheetViews>
    <sheetView zoomScaleNormal="100" workbookViewId="0">
      <pane xSplit="1" ySplit="2" topLeftCell="B3" activePane="bottomRight" state="frozen"/>
      <selection pane="topRight" activeCell="B1" sqref="B1"/>
      <selection pane="bottomLeft" activeCell="A3" sqref="A3"/>
      <selection pane="bottomRight" activeCell="K16" sqref="K16"/>
    </sheetView>
  </sheetViews>
  <sheetFormatPr defaultColWidth="11.44140625" defaultRowHeight="13.2" x14ac:dyDescent="0.25"/>
  <cols>
    <col min="1" max="1" width="8.44140625" style="1" customWidth="1"/>
    <col min="2" max="2" width="13.5546875" style="1" customWidth="1"/>
    <col min="3" max="3" width="13" style="1" customWidth="1"/>
    <col min="4" max="4" width="13.5546875" style="1" customWidth="1"/>
    <col min="5" max="5" width="13" style="1" customWidth="1"/>
    <col min="6" max="6" width="14.5546875" style="1" customWidth="1"/>
    <col min="7" max="16384" width="11.44140625" style="1"/>
  </cols>
  <sheetData>
    <row r="1" spans="1:16" x14ac:dyDescent="0.25">
      <c r="A1" s="4"/>
      <c r="B1" s="177" t="s">
        <v>7</v>
      </c>
      <c r="C1" s="178"/>
      <c r="D1" s="179"/>
      <c r="E1" s="177" t="s">
        <v>223</v>
      </c>
      <c r="F1" s="178"/>
      <c r="G1" s="179"/>
      <c r="H1" s="177" t="s">
        <v>224</v>
      </c>
      <c r="I1" s="178"/>
      <c r="J1" s="179"/>
      <c r="K1" s="177" t="s">
        <v>225</v>
      </c>
      <c r="L1" s="178"/>
      <c r="M1" s="179"/>
      <c r="N1" s="178" t="s">
        <v>10</v>
      </c>
      <c r="O1" s="178"/>
      <c r="P1" s="179"/>
    </row>
    <row r="2" spans="1:16" ht="13.8" thickBot="1" x14ac:dyDescent="0.3">
      <c r="A2" s="4"/>
      <c r="B2" s="121" t="s">
        <v>11</v>
      </c>
      <c r="C2" s="122" t="s">
        <v>12</v>
      </c>
      <c r="D2" s="123" t="s">
        <v>13</v>
      </c>
      <c r="E2" s="121" t="s">
        <v>11</v>
      </c>
      <c r="F2" s="122" t="s">
        <v>12</v>
      </c>
      <c r="G2" s="123" t="s">
        <v>13</v>
      </c>
      <c r="H2" s="121" t="s">
        <v>11</v>
      </c>
      <c r="I2" s="122" t="s">
        <v>12</v>
      </c>
      <c r="J2" s="123" t="s">
        <v>13</v>
      </c>
      <c r="K2" s="121" t="s">
        <v>11</v>
      </c>
      <c r="L2" s="122" t="s">
        <v>12</v>
      </c>
      <c r="M2" s="123" t="s">
        <v>13</v>
      </c>
      <c r="N2" s="122" t="s">
        <v>11</v>
      </c>
      <c r="O2" s="122" t="s">
        <v>12</v>
      </c>
      <c r="P2" s="123" t="s">
        <v>13</v>
      </c>
    </row>
    <row r="3" spans="1:16" x14ac:dyDescent="0.25">
      <c r="A3" s="11" t="s">
        <v>8</v>
      </c>
      <c r="B3" s="127">
        <v>-1</v>
      </c>
      <c r="C3" s="29">
        <v>-0.9</v>
      </c>
      <c r="D3" s="128">
        <v>0</v>
      </c>
      <c r="E3" s="127">
        <v>0</v>
      </c>
      <c r="F3" s="29">
        <v>0</v>
      </c>
      <c r="G3" s="128">
        <v>0</v>
      </c>
      <c r="H3" s="127">
        <v>0</v>
      </c>
      <c r="I3" s="29">
        <v>0</v>
      </c>
      <c r="J3" s="128">
        <v>0</v>
      </c>
      <c r="K3" s="127">
        <v>0</v>
      </c>
      <c r="L3" s="29">
        <v>0</v>
      </c>
      <c r="M3" s="128">
        <v>0</v>
      </c>
      <c r="N3" s="127">
        <v>-1</v>
      </c>
      <c r="O3" s="29">
        <v>-0.2</v>
      </c>
      <c r="P3" s="128">
        <v>0</v>
      </c>
    </row>
    <row r="4" spans="1:16" x14ac:dyDescent="0.25">
      <c r="A4" s="12" t="s">
        <v>9</v>
      </c>
      <c r="B4" s="129">
        <v>1</v>
      </c>
      <c r="C4" s="130">
        <v>0.7</v>
      </c>
      <c r="D4" s="131">
        <v>0</v>
      </c>
      <c r="E4" s="129">
        <v>-1</v>
      </c>
      <c r="F4" s="130">
        <v>-2.9</v>
      </c>
      <c r="G4" s="131">
        <v>0</v>
      </c>
      <c r="H4" s="129">
        <v>-1</v>
      </c>
      <c r="I4" s="130">
        <v>-2.9</v>
      </c>
      <c r="J4" s="131">
        <v>0</v>
      </c>
      <c r="K4" s="129">
        <v>-1</v>
      </c>
      <c r="L4" s="130">
        <v>-2.9</v>
      </c>
      <c r="M4" s="131">
        <v>0</v>
      </c>
      <c r="N4" s="129">
        <v>-1</v>
      </c>
      <c r="O4" s="130">
        <v>-2.1</v>
      </c>
      <c r="P4" s="131">
        <v>0</v>
      </c>
    </row>
    <row r="5" spans="1:16" x14ac:dyDescent="0.25">
      <c r="A5" s="12" t="s">
        <v>14</v>
      </c>
      <c r="B5" s="129">
        <v>0</v>
      </c>
      <c r="C5" s="130">
        <v>0</v>
      </c>
      <c r="D5" s="131">
        <v>0</v>
      </c>
      <c r="E5" s="129">
        <v>1</v>
      </c>
      <c r="F5" s="130">
        <v>2.7</v>
      </c>
      <c r="G5" s="131">
        <v>0</v>
      </c>
      <c r="H5" s="129">
        <v>1</v>
      </c>
      <c r="I5" s="130">
        <v>2.7</v>
      </c>
      <c r="J5" s="131">
        <v>0</v>
      </c>
      <c r="K5" s="129">
        <v>1</v>
      </c>
      <c r="L5" s="130">
        <v>2.7</v>
      </c>
      <c r="M5" s="131">
        <v>0</v>
      </c>
      <c r="N5" s="129">
        <v>0</v>
      </c>
      <c r="O5" s="130">
        <v>2.1</v>
      </c>
      <c r="P5" s="131">
        <v>0</v>
      </c>
    </row>
    <row r="6" spans="1:16" x14ac:dyDescent="0.25">
      <c r="A6" s="12" t="s">
        <v>15</v>
      </c>
      <c r="B6" s="129">
        <v>-1.5</v>
      </c>
      <c r="C6" s="130">
        <v>0</v>
      </c>
      <c r="D6" s="131">
        <v>0</v>
      </c>
      <c r="E6" s="129">
        <v>-0.5</v>
      </c>
      <c r="F6" s="130">
        <v>0</v>
      </c>
      <c r="G6" s="131">
        <v>0</v>
      </c>
      <c r="H6" s="129">
        <v>-0.5</v>
      </c>
      <c r="I6" s="130">
        <v>0</v>
      </c>
      <c r="J6" s="131">
        <v>0</v>
      </c>
      <c r="K6" s="129">
        <v>-0.5</v>
      </c>
      <c r="L6" s="130">
        <v>0</v>
      </c>
      <c r="M6" s="131">
        <v>0</v>
      </c>
      <c r="N6" s="129">
        <v>0</v>
      </c>
      <c r="O6" s="130">
        <v>0</v>
      </c>
      <c r="P6" s="131">
        <v>0</v>
      </c>
    </row>
    <row r="7" spans="1:16" s="2" customFormat="1" x14ac:dyDescent="0.25">
      <c r="A7" s="12" t="s">
        <v>16</v>
      </c>
      <c r="B7" s="129">
        <v>0</v>
      </c>
      <c r="C7" s="130">
        <v>-1</v>
      </c>
      <c r="D7" s="131">
        <v>1</v>
      </c>
      <c r="E7" s="129">
        <v>0</v>
      </c>
      <c r="F7" s="130">
        <v>-1</v>
      </c>
      <c r="G7" s="131">
        <v>1</v>
      </c>
      <c r="H7" s="129">
        <v>0</v>
      </c>
      <c r="I7" s="130">
        <v>-1</v>
      </c>
      <c r="J7" s="131">
        <v>1</v>
      </c>
      <c r="K7" s="129">
        <v>0</v>
      </c>
      <c r="L7" s="130">
        <v>-1</v>
      </c>
      <c r="M7" s="131">
        <v>1</v>
      </c>
      <c r="N7" s="129">
        <v>0</v>
      </c>
      <c r="O7" s="130">
        <v>-1</v>
      </c>
      <c r="P7" s="131">
        <v>1</v>
      </c>
    </row>
    <row r="8" spans="1:16" s="2" customFormat="1" x14ac:dyDescent="0.25">
      <c r="A8" s="12" t="s">
        <v>17</v>
      </c>
      <c r="B8" s="132">
        <v>0</v>
      </c>
      <c r="C8" s="124">
        <v>0</v>
      </c>
      <c r="D8" s="133">
        <v>0</v>
      </c>
      <c r="E8" s="132">
        <v>0</v>
      </c>
      <c r="F8" s="124">
        <v>0</v>
      </c>
      <c r="G8" s="133">
        <v>0</v>
      </c>
      <c r="H8" s="132">
        <v>0</v>
      </c>
      <c r="I8" s="124">
        <v>0</v>
      </c>
      <c r="J8" s="133">
        <v>0</v>
      </c>
      <c r="K8" s="132">
        <v>0</v>
      </c>
      <c r="L8" s="124">
        <v>0</v>
      </c>
      <c r="M8" s="133">
        <v>0</v>
      </c>
      <c r="N8" s="132">
        <v>0</v>
      </c>
      <c r="O8" s="124">
        <v>0</v>
      </c>
      <c r="P8" s="133">
        <v>0</v>
      </c>
    </row>
    <row r="9" spans="1:16" x14ac:dyDescent="0.25">
      <c r="A9" s="72" t="s">
        <v>18</v>
      </c>
      <c r="B9" s="125">
        <v>0</v>
      </c>
      <c r="C9" s="126">
        <v>0</v>
      </c>
      <c r="D9" s="134">
        <v>0</v>
      </c>
      <c r="E9" s="125">
        <v>0</v>
      </c>
      <c r="F9" s="126">
        <v>0</v>
      </c>
      <c r="G9" s="134">
        <v>0</v>
      </c>
      <c r="H9" s="125">
        <v>0</v>
      </c>
      <c r="I9" s="126">
        <v>0</v>
      </c>
      <c r="J9" s="134">
        <v>0</v>
      </c>
      <c r="K9" s="125">
        <v>0</v>
      </c>
      <c r="L9" s="126">
        <v>0</v>
      </c>
      <c r="M9" s="134">
        <v>0</v>
      </c>
      <c r="N9" s="125">
        <v>0</v>
      </c>
      <c r="O9" s="126">
        <v>0</v>
      </c>
      <c r="P9" s="134">
        <v>0</v>
      </c>
    </row>
    <row r="10" spans="1:16" x14ac:dyDescent="0.25">
      <c r="A10" s="72" t="s">
        <v>19</v>
      </c>
      <c r="B10" s="125">
        <v>0</v>
      </c>
      <c r="C10" s="126">
        <v>0</v>
      </c>
      <c r="D10" s="134">
        <v>0</v>
      </c>
      <c r="E10" s="125">
        <v>0</v>
      </c>
      <c r="F10" s="126">
        <v>0</v>
      </c>
      <c r="G10" s="134">
        <v>0</v>
      </c>
      <c r="H10" s="125">
        <v>0</v>
      </c>
      <c r="I10" s="126">
        <v>0</v>
      </c>
      <c r="J10" s="134">
        <v>0</v>
      </c>
      <c r="K10" s="125">
        <v>0</v>
      </c>
      <c r="L10" s="126">
        <v>0</v>
      </c>
      <c r="M10" s="134">
        <v>0</v>
      </c>
      <c r="N10" s="125">
        <v>1</v>
      </c>
      <c r="O10" s="126">
        <v>0</v>
      </c>
      <c r="P10" s="134">
        <v>0</v>
      </c>
    </row>
    <row r="11" spans="1:16" x14ac:dyDescent="0.25">
      <c r="A11" s="120" t="s">
        <v>20</v>
      </c>
      <c r="B11" s="135">
        <v>1</v>
      </c>
      <c r="C11" s="26">
        <v>1.1000000000000001</v>
      </c>
      <c r="D11" s="136">
        <v>0</v>
      </c>
      <c r="E11" s="135">
        <v>0</v>
      </c>
      <c r="F11" s="26">
        <v>0.2</v>
      </c>
      <c r="G11" s="136">
        <v>0</v>
      </c>
      <c r="H11" s="135">
        <v>0</v>
      </c>
      <c r="I11" s="26">
        <v>0.2</v>
      </c>
      <c r="J11" s="136">
        <v>0</v>
      </c>
      <c r="K11" s="135">
        <v>0</v>
      </c>
      <c r="L11" s="26">
        <v>0.2</v>
      </c>
      <c r="M11" s="136">
        <v>0</v>
      </c>
      <c r="N11" s="135">
        <v>2</v>
      </c>
      <c r="O11" s="26">
        <v>0.4</v>
      </c>
      <c r="P11" s="136">
        <v>0</v>
      </c>
    </row>
    <row r="12" spans="1:16" ht="13.8" thickBot="1" x14ac:dyDescent="0.3">
      <c r="A12" s="82" t="s">
        <v>2</v>
      </c>
      <c r="B12" s="24">
        <v>1</v>
      </c>
      <c r="C12" s="137">
        <v>-1</v>
      </c>
      <c r="D12" s="138">
        <v>0</v>
      </c>
      <c r="E12" s="24">
        <v>0</v>
      </c>
      <c r="F12" s="137">
        <v>-1</v>
      </c>
      <c r="G12" s="138">
        <v>0</v>
      </c>
      <c r="H12" s="24">
        <v>0</v>
      </c>
      <c r="I12" s="137">
        <v>-1</v>
      </c>
      <c r="J12" s="138">
        <v>0</v>
      </c>
      <c r="K12" s="24">
        <v>0</v>
      </c>
      <c r="L12" s="137">
        <v>-1</v>
      </c>
      <c r="M12" s="138">
        <v>0</v>
      </c>
      <c r="N12" s="24">
        <v>0</v>
      </c>
      <c r="O12" s="137">
        <v>-1</v>
      </c>
      <c r="P12" s="138">
        <v>0</v>
      </c>
    </row>
  </sheetData>
  <mergeCells count="5">
    <mergeCell ref="B1:D1"/>
    <mergeCell ref="E1:G1"/>
    <mergeCell ref="N1:P1"/>
    <mergeCell ref="H1:J1"/>
    <mergeCell ref="K1:M1"/>
  </mergeCells>
  <conditionalFormatting sqref="B10:B12 G10:G12">
    <cfRule type="cellIs" dxfId="51" priority="114" operator="equal">
      <formula>0</formula>
    </cfRule>
  </conditionalFormatting>
  <conditionalFormatting sqref="D10:D12">
    <cfRule type="cellIs" dxfId="50" priority="93" operator="equal">
      <formula>0</formula>
    </cfRule>
  </conditionalFormatting>
  <conditionalFormatting sqref="D9">
    <cfRule type="cellIs" dxfId="49" priority="76" operator="equal">
      <formula>0</formula>
    </cfRule>
  </conditionalFormatting>
  <conditionalFormatting sqref="B3:B7">
    <cfRule type="cellIs" dxfId="48" priority="87" operator="equal">
      <formula>0</formula>
    </cfRule>
  </conditionalFormatting>
  <conditionalFormatting sqref="D3">
    <cfRule type="cellIs" dxfId="47" priority="86" operator="equal">
      <formula>0</formula>
    </cfRule>
  </conditionalFormatting>
  <conditionalFormatting sqref="D4:D7">
    <cfRule type="cellIs" dxfId="46" priority="85" operator="equal">
      <formula>0</formula>
    </cfRule>
  </conditionalFormatting>
  <conditionalFormatting sqref="B9">
    <cfRule type="cellIs" dxfId="45" priority="78" operator="equal">
      <formula>0</formula>
    </cfRule>
  </conditionalFormatting>
  <conditionalFormatting sqref="B8">
    <cfRule type="cellIs" dxfId="44" priority="72" operator="equal">
      <formula>0</formula>
    </cfRule>
  </conditionalFormatting>
  <conditionalFormatting sqref="D8">
    <cfRule type="cellIs" dxfId="43" priority="70" operator="equal">
      <formula>0</formula>
    </cfRule>
  </conditionalFormatting>
  <conditionalFormatting sqref="E3:F7 E10:F12">
    <cfRule type="cellIs" dxfId="42" priority="66" operator="equal">
      <formula>0</formula>
    </cfRule>
  </conditionalFormatting>
  <conditionalFormatting sqref="G3">
    <cfRule type="cellIs" dxfId="41" priority="62" operator="equal">
      <formula>0</formula>
    </cfRule>
  </conditionalFormatting>
  <conditionalFormatting sqref="G4:G7">
    <cfRule type="cellIs" dxfId="40" priority="61" operator="equal">
      <formula>0</formula>
    </cfRule>
  </conditionalFormatting>
  <conditionalFormatting sqref="E9">
    <cfRule type="cellIs" dxfId="39" priority="60" operator="equal">
      <formula>0</formula>
    </cfRule>
  </conditionalFormatting>
  <conditionalFormatting sqref="F9">
    <cfRule type="cellIs" dxfId="38" priority="59" operator="equal">
      <formula>0</formula>
    </cfRule>
  </conditionalFormatting>
  <conditionalFormatting sqref="G9">
    <cfRule type="cellIs" dxfId="37" priority="58" operator="equal">
      <formula>0</formula>
    </cfRule>
  </conditionalFormatting>
  <conditionalFormatting sqref="E8">
    <cfRule type="cellIs" dxfId="36" priority="57" operator="equal">
      <formula>0</formula>
    </cfRule>
  </conditionalFormatting>
  <conditionalFormatting sqref="F8">
    <cfRule type="cellIs" dxfId="35" priority="56" operator="equal">
      <formula>0</formula>
    </cfRule>
  </conditionalFormatting>
  <conditionalFormatting sqref="G8">
    <cfRule type="cellIs" dxfId="34" priority="55" operator="equal">
      <formula>0</formula>
    </cfRule>
  </conditionalFormatting>
  <conditionalFormatting sqref="O3:O7 N10:O12">
    <cfRule type="cellIs" dxfId="33" priority="54" operator="equal">
      <formula>0</formula>
    </cfRule>
  </conditionalFormatting>
  <conditionalFormatting sqref="P10:P12">
    <cfRule type="cellIs" dxfId="32" priority="53" operator="equal">
      <formula>0</formula>
    </cfRule>
  </conditionalFormatting>
  <conditionalFormatting sqref="P9">
    <cfRule type="cellIs" dxfId="31" priority="46" operator="equal">
      <formula>0</formula>
    </cfRule>
  </conditionalFormatting>
  <conditionalFormatting sqref="N3:N7">
    <cfRule type="cellIs" dxfId="30" priority="51" operator="equal">
      <formula>0</formula>
    </cfRule>
  </conditionalFormatting>
  <conditionalFormatting sqref="P3">
    <cfRule type="cellIs" dxfId="29" priority="50" operator="equal">
      <formula>0</formula>
    </cfRule>
  </conditionalFormatting>
  <conditionalFormatting sqref="P4:P7">
    <cfRule type="cellIs" dxfId="28" priority="49" operator="equal">
      <formula>0</formula>
    </cfRule>
  </conditionalFormatting>
  <conditionalFormatting sqref="N9">
    <cfRule type="cellIs" dxfId="27" priority="48" operator="equal">
      <formula>0</formula>
    </cfRule>
  </conditionalFormatting>
  <conditionalFormatting sqref="O9">
    <cfRule type="cellIs" dxfId="26" priority="47" operator="equal">
      <formula>0</formula>
    </cfRule>
  </conditionalFormatting>
  <conditionalFormatting sqref="N8">
    <cfRule type="cellIs" dxfId="25" priority="45" operator="equal">
      <formula>0</formula>
    </cfRule>
  </conditionalFormatting>
  <conditionalFormatting sqref="O8">
    <cfRule type="cellIs" dxfId="24" priority="44" operator="equal">
      <formula>0</formula>
    </cfRule>
  </conditionalFormatting>
  <conditionalFormatting sqref="P8">
    <cfRule type="cellIs" dxfId="23" priority="43" operator="equal">
      <formula>0</formula>
    </cfRule>
  </conditionalFormatting>
  <conditionalFormatting sqref="C3:C7 C10:C12">
    <cfRule type="cellIs" dxfId="22" priority="23" operator="equal">
      <formula>0</formula>
    </cfRule>
  </conditionalFormatting>
  <conditionalFormatting sqref="C9">
    <cfRule type="cellIs" dxfId="21" priority="22" operator="equal">
      <formula>0</formula>
    </cfRule>
  </conditionalFormatting>
  <conditionalFormatting sqref="C8">
    <cfRule type="cellIs" dxfId="20" priority="21" operator="equal">
      <formula>0</formula>
    </cfRule>
  </conditionalFormatting>
  <conditionalFormatting sqref="J10:J12">
    <cfRule type="cellIs" dxfId="19" priority="20" operator="equal">
      <formula>0</formula>
    </cfRule>
  </conditionalFormatting>
  <conditionalFormatting sqref="H3:I7 H10:I12">
    <cfRule type="cellIs" dxfId="18" priority="19" operator="equal">
      <formula>0</formula>
    </cfRule>
  </conditionalFormatting>
  <conditionalFormatting sqref="J3">
    <cfRule type="cellIs" dxfId="17" priority="18" operator="equal">
      <formula>0</formula>
    </cfRule>
  </conditionalFormatting>
  <conditionalFormatting sqref="J4:J7">
    <cfRule type="cellIs" dxfId="16" priority="17" operator="equal">
      <formula>0</formula>
    </cfRule>
  </conditionalFormatting>
  <conditionalFormatting sqref="H9">
    <cfRule type="cellIs" dxfId="15" priority="16" operator="equal">
      <formula>0</formula>
    </cfRule>
  </conditionalFormatting>
  <conditionalFormatting sqref="I9">
    <cfRule type="cellIs" dxfId="14" priority="15" operator="equal">
      <formula>0</formula>
    </cfRule>
  </conditionalFormatting>
  <conditionalFormatting sqref="J9">
    <cfRule type="cellIs" dxfId="13" priority="14" operator="equal">
      <formula>0</formula>
    </cfRule>
  </conditionalFormatting>
  <conditionalFormatting sqref="H8">
    <cfRule type="cellIs" dxfId="12" priority="13" operator="equal">
      <formula>0</formula>
    </cfRule>
  </conditionalFormatting>
  <conditionalFormatting sqref="I8">
    <cfRule type="cellIs" dxfId="11" priority="12" operator="equal">
      <formula>0</formula>
    </cfRule>
  </conditionalFormatting>
  <conditionalFormatting sqref="J8">
    <cfRule type="cellIs" dxfId="10" priority="11" operator="equal">
      <formula>0</formula>
    </cfRule>
  </conditionalFormatting>
  <conditionalFormatting sqref="M10:M12">
    <cfRule type="cellIs" dxfId="9" priority="10" operator="equal">
      <formula>0</formula>
    </cfRule>
  </conditionalFormatting>
  <conditionalFormatting sqref="K3:L7 K10:L12">
    <cfRule type="cellIs" dxfId="8" priority="9" operator="equal">
      <formula>0</formula>
    </cfRule>
  </conditionalFormatting>
  <conditionalFormatting sqref="M3">
    <cfRule type="cellIs" dxfId="7" priority="8" operator="equal">
      <formula>0</formula>
    </cfRule>
  </conditionalFormatting>
  <conditionalFormatting sqref="M4:M7">
    <cfRule type="cellIs" dxfId="6" priority="7" operator="equal">
      <formula>0</formula>
    </cfRule>
  </conditionalFormatting>
  <conditionalFormatting sqref="K9">
    <cfRule type="cellIs" dxfId="5" priority="6" operator="equal">
      <formula>0</formula>
    </cfRule>
  </conditionalFormatting>
  <conditionalFormatting sqref="L9">
    <cfRule type="cellIs" dxfId="4" priority="5" operator="equal">
      <formula>0</formula>
    </cfRule>
  </conditionalFormatting>
  <conditionalFormatting sqref="M9">
    <cfRule type="cellIs" dxfId="3" priority="4" operator="equal">
      <formula>0</formula>
    </cfRule>
  </conditionalFormatting>
  <conditionalFormatting sqref="K8">
    <cfRule type="cellIs" dxfId="2" priority="3" operator="equal">
      <formula>0</formula>
    </cfRule>
  </conditionalFormatting>
  <conditionalFormatting sqref="L8">
    <cfRule type="cellIs" dxfId="1" priority="2" operator="equal">
      <formula>0</formula>
    </cfRule>
  </conditionalFormatting>
  <conditionalFormatting sqref="M8">
    <cfRule type="cellIs" dxfId="0" priority="1" operator="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Information</vt:lpstr>
      <vt:lpstr>Settings</vt:lpstr>
      <vt:lpstr>Discretization</vt:lpstr>
      <vt:lpstr>Parameters</vt:lpstr>
      <vt:lpstr>Bacteria</vt:lpstr>
      <vt:lpstr>Diffusion</vt:lpstr>
      <vt:lpstr>Solver</vt:lpstr>
      <vt:lpstr>Influent</vt:lpstr>
      <vt:lpstr>Initial condition</vt:lpstr>
      <vt:lpstr>ThermoParam</vt:lpstr>
      <vt:lpstr>Ks</vt:lpstr>
      <vt:lpstr>Ki</vt:lpstr>
      <vt:lpstr>Yield</vt:lpstr>
      <vt:lpstr>ReactionMatrix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Rebeca.Gonzalez-Cabaleiro@newcastle.ac.uk</dc:creator>
  <cp:keywords/>
  <dc:description/>
  <cp:lastModifiedBy>Eloi Martínez-Rabert (PGR)</cp:lastModifiedBy>
  <cp:revision/>
  <dcterms:created xsi:type="dcterms:W3CDTF">2008-02-06T12:16:03Z</dcterms:created>
  <dcterms:modified xsi:type="dcterms:W3CDTF">2022-06-17T04:12:14Z</dcterms:modified>
  <cp:category/>
  <cp:contentStatus/>
</cp:coreProperties>
</file>