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D39B1B26-1305-4AFF-87FB-C05846E63EFC}" xr6:coauthVersionLast="47" xr6:coauthVersionMax="47" xr10:uidLastSave="{00000000-0000-0000-0000-000000000000}"/>
  <bookViews>
    <workbookView xWindow="-120" yWindow="-16320" windowWidth="29040" windowHeight="15840" tabRatio="808" firstSheet="4" activeTab="8" xr2:uid="{00000000-000D-0000-FFFF-FFFF00000000}"/>
  </bookViews>
  <sheets>
    <sheet name="Discretization" sheetId="27" r:id="rId1"/>
    <sheet name="Information" sheetId="30" r:id="rId2"/>
    <sheet name="Reactions" sheetId="18" state="hidden" r:id="rId3"/>
    <sheet name="Settings" sheetId="34" r:id="rId4"/>
    <sheet name="Parameters" sheetId="26" r:id="rId5"/>
    <sheet name="Diffusion" sheetId="28" r:id="rId6"/>
    <sheet name="Bacteria" sheetId="25" r:id="rId7"/>
    <sheet name="Solver" sheetId="29" r:id="rId8"/>
    <sheet name="Initial condition" sheetId="22" r:id="rId9"/>
    <sheet name="Influent" sheetId="23"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7" i="22"/>
  <c r="B5" i="22"/>
  <c r="B4" i="23"/>
  <c r="B1" i="23"/>
  <c r="B3" i="26"/>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D17" i="24"/>
  <c r="E17" i="24"/>
  <c r="C19" i="24"/>
  <c r="D19" i="24"/>
  <c r="E19" i="24"/>
  <c r="C20" i="24"/>
  <c r="D20" i="24"/>
  <c r="E20" i="24"/>
  <c r="C21" i="24"/>
  <c r="D21" i="24"/>
  <c r="E21" i="24"/>
  <c r="C22" i="24"/>
  <c r="D22" i="24"/>
  <c r="E22" i="24"/>
  <c r="C13" i="24"/>
  <c r="D13" i="24"/>
  <c r="E13" i="24"/>
  <c r="B9" i="26"/>
  <c r="C17" i="24" s="1"/>
  <c r="B6" i="26"/>
  <c r="D7" i="24"/>
  <c r="E7" i="24"/>
  <c r="E18" i="24" s="1"/>
  <c r="B4" i="27"/>
  <c r="B3" i="27"/>
  <c r="C15" i="24" l="1"/>
  <c r="C14" i="24"/>
  <c r="B5" i="33"/>
  <c r="B2" i="33"/>
  <c r="B14" i="27"/>
  <c r="B7" i="28"/>
  <c r="B6" i="28"/>
  <c r="B5" i="28"/>
  <c r="B4" i="28"/>
  <c r="B3" i="28"/>
  <c r="B2" i="28"/>
  <c r="B1" i="28"/>
  <c r="B19" i="27" l="1"/>
  <c r="B17" i="27"/>
  <c r="B11" i="27"/>
  <c r="B8" i="27"/>
  <c r="B15" i="25"/>
  <c r="B4" i="25"/>
  <c r="B3" i="25"/>
  <c r="B8" i="25" l="1"/>
  <c r="B1" i="25"/>
  <c r="B2" i="25" s="1"/>
  <c r="B10"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<sst xmlns="http://schemas.openxmlformats.org/spreadsheetml/2006/main" count="548" uniqueCount="282">
  <si>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</si>
  <si>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</si>
  <si>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</si>
  <si>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</si>
  <si>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</si>
  <si>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</si>
  <si>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</si>
  <si>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</si>
  <si>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</si>
  <si>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</si>
  <si>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</si>
  <si>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</si>
  <si>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</si>
  <si>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</si>
  <si>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</si>
  <si>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</si>
  <si>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</si>
  <si>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</si>
  <si>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</si>
  <si>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</si>
  <si>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</si>
  <si>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</si>
  <si>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</si>
  <si>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</si>
  <si>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</si>
  <si>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</si>
  <si>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</si>
  <si>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</si>
  <si>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</si>
  <si>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</si>
  <si>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</si>
  <si>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</si>
  <si>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</si>
  <si>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</si>
  <si>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</si>
  <si>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</si>
  <si>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</si>
  <si>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</si>
  <si>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</si>
  <si>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</si>
  <si>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</si>
  <si>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</si>
  <si>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</si>
  <si>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</si>
  <si>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</si>
  <si>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</si>
  <si>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</si>
  <si>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</si>
  <si>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</si>
  <si>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</si>
  <si>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</si>
  <si>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</si>
  <si>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</si>
  <si>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</si>
  <si>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</si>
  <si>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</si>
  <si>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</si>
  <si>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</si>
  <si>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</si>
  <si>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</si>
  <si>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</si>
  <si>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</si>
  <si>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</si>
  <si>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</si>
  <si>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</si>
  <si>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</si>
  <si>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</si>
  <si>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</si>
  <si>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</si>
  <si>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</si>
  <si>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</si>
  <si>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</si>
  <si>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</si>
  <si>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</si>
  <si>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</si>
  <si>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</si>
  <si>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</si>
  <si>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</si>
  <si>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</si>
  <si>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</si>
  <si>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</si>
  <si>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</si>
  <si>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</si>
  <si>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</si>
  <si>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</si>
  <si>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</si>
  <si>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</si>
  <si>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</si>
  <si>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</si>
  <si>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</si>
  <si>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</si>
  <si>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</si>
  <si>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</si>
  <si>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</si>
  <si>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</si>
  <si>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</si>
  <si>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</si>
  <si>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</si>
  <si>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</si>
  <si>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</si>
  <si>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</si>
  <si>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</si>
  <si>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</si>
  <si>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</si>
  <si>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</si>
  <si>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</si>
  <si>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</si>
  <si>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</si>
  <si>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</si>
  <si>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</si>
  <si>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</si>
  <si>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</si>
  <si>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</si>
  <si>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</si>
  <si>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</si>
  <si>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</si>
  <si>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</si>
  <si>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</si>
  <si>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</si>
  <si>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</si>
  <si>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</si>
  <si>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</si>
  <si>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</si>
  <si>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</si>
  <si>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</si>
  <si>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</si>
  <si>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</si>
  <si>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</si>
  <si>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</si>
  <si>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</si>
  <si>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</si>
  <si>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</si>
  <si>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</si>
  <si>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</si>
  <si>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</si>
  <si>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</si>
  <si>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</si>
  <si>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</si>
  <si>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</si>
  <si>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</si>
  <si>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</si>
  <si>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</si>
  <si>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</si>
  <si>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</si>
  <si>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</si>
  <si>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</si>
  <si>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</si>
  <si>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</si>
  <si>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</si>
  <si>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</si>
  <si>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</si>
  <si>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</si>
  <si>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</si>
  <si>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</si>
  <si>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</si>
  <si>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</si>
  <si>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</si>
  <si>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</si>
  <si>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</si>
  <si>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</si>
  <si>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</si>
  <si>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</si>
  <si>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</si>
  <si>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</si>
  <si>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</si>
  <si>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</si>
  <si>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</si>
  <si>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</si>
  <si>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</si>
  <si>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</si>
  <si>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</si>
  <si>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</si>
  <si>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</si>
  <si>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</si>
  <si>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</si>
  <si>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</si>
  <si>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</si>
  <si>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</si>
  <si>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</si>
  <si>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</si>
  <si>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</si>
  <si>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</si>
  <si>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</si>
  <si>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</si>
  <si>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</si>
  <si>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</si>
  <si>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</si>
  <si>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</si>
  <si>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</si>
  <si>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</si>
  <si>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</si>
  <si>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</si>
  <si>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</si>
  <si>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</si>
  <si>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</si>
  <si>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</si>
  <si>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</si>
  <si>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</si>
  <si>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</si>
  <si>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</si>
  <si>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</si>
  <si>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</si>
  <si>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</si>
  <si>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</si>
  <si>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</si>
  <si>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</si>
  <si>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</si>
  <si>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</si>
  <si>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</si>
  <si>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</si>
  <si>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</si>
  <si>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</si>
  <si>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</si>
  <si>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</si>
  <si>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</si>
  <si>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</si>
  <si>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</si>
  <si>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</si>
  <si>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</si>
  <si>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</si>
  <si>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</si>
  <si>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</si>
  <si>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</si>
  <si>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</si>
  <si>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</si>
  <si>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</si>
  <si>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</si>
  <si>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</si>
  <si>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</si>
  <si>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</si>
  <si>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</si>
  <si>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</si>
  <si>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</si>
  <si>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</si>
  <si>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</si>
  <si>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</si>
  <si>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</si>
  <si>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</si>
  <si>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</si>
  <si>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</si>
  <si>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</si>
  <si>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</si>
  <si>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</si>
  <si>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</si>
  <si>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</si>
  <si>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</si>
  <si>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</si>
  <si>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</si>
  <si>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</si>
  <si>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</si>
  <si>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</si>
  <si>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</si>
  <si>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</si>
  <si>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</si>
  <si>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</si>
  <si>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</si>
  <si>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</si>
  <si>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</si>
  <si>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</si>
  <si>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</si>
  <si>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</si>
  <si>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</si>
  <si>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</si>
  <si>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</si>
  <si>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</si>
  <si>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</si>
  <si>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</si>
  <si>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</si>
  <si>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</si>
  <si>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</si>
  <si>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</si>
  <si>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</si>
  <si>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</si>
  <si>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</si>
  <si>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</si>
  <si>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</si>
  <si>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</si>
  <si>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</si>
  <si>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</si>
  <si>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</si>
  <si>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</si>
  <si>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mechanistic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</si>
</sst>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1">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22" xfId="11" applyBorder="1" applyAlignment="1">
      <alignment horizontal="center" vertical="center" wrapText="1"/>
    </xf>
    <xf numFmtId="0" fontId="37" fillId="0" borderId="0"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75">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strike val="0"/>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28" sqref="B28"/>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128</v>
      </c>
      <c r="E1" s="235" t="s">
        <v>135</v>
      </c>
    </row>
    <row r="2" spans="1:5" ht="14.4" x14ac:dyDescent="0.3">
      <c r="A2" s="77" t="s">
        <v>102</v>
      </c>
      <c r="B2" s="133">
        <v>257</v>
      </c>
      <c r="C2" s="90" t="s">
        <v>97</v>
      </c>
      <c r="D2" s="110" t="s">
        <v>129</v>
      </c>
      <c r="E2" s="235"/>
    </row>
    <row r="3" spans="1:5" ht="14.4" x14ac:dyDescent="0.3">
      <c r="A3" s="77" t="s">
        <v>103</v>
      </c>
      <c r="B3" s="99">
        <f>B5*B1*1000000</f>
        <v>1028</v>
      </c>
      <c r="C3" s="90" t="s">
        <v>121</v>
      </c>
      <c r="D3" s="110" t="s">
        <v>122</v>
      </c>
      <c r="E3" s="235"/>
    </row>
    <row r="4" spans="1:5" ht="14.4" x14ac:dyDescent="0.3">
      <c r="A4" s="77" t="s">
        <v>104</v>
      </c>
      <c r="B4" s="99">
        <f>B6*B2*1000000</f>
        <v>1028</v>
      </c>
      <c r="C4" s="90" t="s">
        <v>121</v>
      </c>
      <c r="D4" s="110" t="s">
        <v>123</v>
      </c>
      <c r="E4" s="235"/>
    </row>
    <row r="5" spans="1:5" ht="14.4" x14ac:dyDescent="0.3">
      <c r="A5" s="77" t="s">
        <v>105</v>
      </c>
      <c r="B5" s="103">
        <v>3.9999999999999998E-6</v>
      </c>
      <c r="C5" s="90" t="s">
        <v>94</v>
      </c>
      <c r="D5" s="110" t="s">
        <v>124</v>
      </c>
      <c r="E5" s="235"/>
    </row>
    <row r="6" spans="1:5" ht="14.4" x14ac:dyDescent="0.3">
      <c r="A6" s="77" t="s">
        <v>106</v>
      </c>
      <c r="B6" s="103">
        <v>3.9999999999999998E-6</v>
      </c>
      <c r="C6" s="90" t="s">
        <v>94</v>
      </c>
      <c r="D6" s="110" t="s">
        <v>125</v>
      </c>
      <c r="E6" s="235"/>
    </row>
    <row r="7" spans="1:5" ht="14.4" x14ac:dyDescent="0.3">
      <c r="A7" s="77" t="s">
        <v>107</v>
      </c>
      <c r="B7" s="103">
        <v>3.9999999999999998E-6</v>
      </c>
      <c r="C7" s="90" t="s">
        <v>94</v>
      </c>
      <c r="D7" s="110" t="s">
        <v>126</v>
      </c>
      <c r="E7" s="235"/>
    </row>
    <row r="8" spans="1:5" ht="15" thickBot="1" x14ac:dyDescent="0.35">
      <c r="A8" s="89" t="s">
        <v>120</v>
      </c>
      <c r="B8" s="104">
        <f>5*10^(-6)</f>
        <v>4.9999999999999996E-6</v>
      </c>
      <c r="C8" s="92" t="s">
        <v>94</v>
      </c>
      <c r="D8" s="111" t="s">
        <v>127</v>
      </c>
      <c r="E8" s="236"/>
    </row>
    <row r="9" spans="1:5" ht="14.4" customHeight="1" x14ac:dyDescent="0.3">
      <c r="A9" s="76" t="s">
        <v>137</v>
      </c>
      <c r="B9" s="105">
        <v>5000</v>
      </c>
      <c r="C9" s="91" t="s">
        <v>100</v>
      </c>
      <c r="D9" s="112" t="s">
        <v>130</v>
      </c>
      <c r="E9" s="237" t="s">
        <v>136</v>
      </c>
    </row>
    <row r="10" spans="1:5" ht="14.4" customHeight="1" x14ac:dyDescent="0.3">
      <c r="A10" s="77" t="s">
        <v>140</v>
      </c>
      <c r="B10" s="102">
        <v>0.2</v>
      </c>
      <c r="C10" s="90" t="s">
        <v>97</v>
      </c>
      <c r="D10" s="110" t="s">
        <v>147</v>
      </c>
      <c r="E10" s="238"/>
    </row>
    <row r="11" spans="1:5" ht="14.4" x14ac:dyDescent="0.3">
      <c r="A11" s="77" t="s">
        <v>143</v>
      </c>
      <c r="B11" s="98">
        <f>$B$5^2 * B10 / MAX(Diffusion!$B:$B)</f>
        <v>6.0468631897203323E-7</v>
      </c>
      <c r="C11" s="90" t="s">
        <v>100</v>
      </c>
      <c r="D11" s="110" t="s">
        <v>149</v>
      </c>
      <c r="E11" s="238"/>
    </row>
    <row r="12" spans="1:5" ht="14.4" x14ac:dyDescent="0.3">
      <c r="A12" s="77" t="s">
        <v>152</v>
      </c>
      <c r="B12" s="102">
        <v>0.5</v>
      </c>
      <c r="C12" s="90" t="s">
        <v>100</v>
      </c>
      <c r="D12" s="110" t="s">
        <v>153</v>
      </c>
      <c r="E12" s="238"/>
    </row>
    <row r="13" spans="1:5" ht="14.4" x14ac:dyDescent="0.3">
      <c r="A13" s="77" t="s">
        <v>131</v>
      </c>
      <c r="B13" s="106">
        <v>24</v>
      </c>
      <c r="C13" s="90" t="s">
        <v>100</v>
      </c>
      <c r="D13" s="110" t="s">
        <v>133</v>
      </c>
      <c r="E13" s="238"/>
    </row>
    <row r="14" spans="1:5" ht="15" thickBot="1" x14ac:dyDescent="0.35">
      <c r="A14" s="89" t="s">
        <v>132</v>
      </c>
      <c r="B14" s="100">
        <f>24*7</f>
        <v>168</v>
      </c>
      <c r="C14" s="124" t="s">
        <v>100</v>
      </c>
      <c r="D14" s="111" t="s">
        <v>134</v>
      </c>
      <c r="E14" s="239"/>
    </row>
    <row r="15" spans="1:5" ht="14.4" x14ac:dyDescent="0.3">
      <c r="A15" s="107" t="s">
        <v>156</v>
      </c>
      <c r="B15" s="134" t="b">
        <v>1</v>
      </c>
      <c r="C15" s="125" t="s">
        <v>97</v>
      </c>
      <c r="D15" s="113" t="s">
        <v>157</v>
      </c>
      <c r="E15" s="237" t="s">
        <v>171</v>
      </c>
    </row>
    <row r="16" spans="1:5" ht="14.4" x14ac:dyDescent="0.3">
      <c r="A16" s="77" t="s">
        <v>138</v>
      </c>
      <c r="B16" s="102">
        <v>0.01</v>
      </c>
      <c r="C16" s="90" t="s">
        <v>97</v>
      </c>
      <c r="D16" s="114" t="s">
        <v>144</v>
      </c>
      <c r="E16" s="238"/>
    </row>
    <row r="17" spans="1:5" ht="14.4" x14ac:dyDescent="0.3">
      <c r="A17" s="77" t="s">
        <v>141</v>
      </c>
      <c r="B17" s="98">
        <f>$B$5^2 * B16 / MAX(Diffusion!$B:$B)</f>
        <v>3.0234315948601663E-8</v>
      </c>
      <c r="C17" s="90" t="s">
        <v>100</v>
      </c>
      <c r="D17" s="114" t="s">
        <v>145</v>
      </c>
      <c r="E17" s="238"/>
    </row>
    <row r="18" spans="1:5" ht="14.4" x14ac:dyDescent="0.3">
      <c r="A18" s="77" t="s">
        <v>139</v>
      </c>
      <c r="B18" s="102">
        <v>0.5</v>
      </c>
      <c r="C18" s="90" t="s">
        <v>97</v>
      </c>
      <c r="D18" s="114" t="s">
        <v>146</v>
      </c>
      <c r="E18" s="238"/>
    </row>
    <row r="19" spans="1:5" ht="14.4" x14ac:dyDescent="0.3">
      <c r="A19" s="77" t="s">
        <v>142</v>
      </c>
      <c r="B19" s="98">
        <f>$B$5^2 * B18 / MAX(Diffusion!$B:$B)</f>
        <v>1.511715797430083E-6</v>
      </c>
      <c r="C19" s="90" t="s">
        <v>100</v>
      </c>
      <c r="D19" s="114" t="s">
        <v>148</v>
      </c>
      <c r="E19" s="238"/>
    </row>
    <row r="20" spans="1:5" ht="14.4" x14ac:dyDescent="0.3">
      <c r="A20" s="77" t="s">
        <v>150</v>
      </c>
      <c r="B20" s="102">
        <v>0.05</v>
      </c>
      <c r="C20" s="90" t="s">
        <v>100</v>
      </c>
      <c r="D20" s="114" t="s">
        <v>154</v>
      </c>
      <c r="E20" s="238"/>
    </row>
    <row r="21" spans="1:5" ht="14.4" x14ac:dyDescent="0.3">
      <c r="A21" s="108" t="s">
        <v>151</v>
      </c>
      <c r="B21" s="109">
        <v>1</v>
      </c>
      <c r="C21" s="126" t="s">
        <v>100</v>
      </c>
      <c r="D21" s="115" t="s">
        <v>155</v>
      </c>
      <c r="E21" s="238"/>
    </row>
    <row r="22" spans="1:5" ht="28.8" x14ac:dyDescent="0.3">
      <c r="A22" s="77" t="s">
        <v>158</v>
      </c>
      <c r="B22" s="102">
        <v>3</v>
      </c>
      <c r="C22" s="127" t="s">
        <v>97</v>
      </c>
      <c r="D22" s="116" t="s">
        <v>164</v>
      </c>
      <c r="E22" s="238"/>
    </row>
    <row r="23" spans="1:5" ht="28.8" x14ac:dyDescent="0.3">
      <c r="A23" s="77" t="s">
        <v>161</v>
      </c>
      <c r="B23" s="102">
        <v>500</v>
      </c>
      <c r="C23" s="127" t="s">
        <v>97</v>
      </c>
      <c r="D23" s="116" t="s">
        <v>165</v>
      </c>
      <c r="E23" s="238"/>
    </row>
    <row r="24" spans="1:5" ht="28.8" x14ac:dyDescent="0.3">
      <c r="A24" s="77" t="s">
        <v>159</v>
      </c>
      <c r="B24" s="102">
        <v>200</v>
      </c>
      <c r="C24" s="127" t="s">
        <v>97</v>
      </c>
      <c r="D24" s="116" t="s">
        <v>166</v>
      </c>
      <c r="E24" s="238"/>
    </row>
    <row r="25" spans="1:5" ht="28.8" x14ac:dyDescent="0.3">
      <c r="A25" s="77" t="s">
        <v>160</v>
      </c>
      <c r="B25" s="102">
        <v>40</v>
      </c>
      <c r="C25" s="127" t="s">
        <v>97</v>
      </c>
      <c r="D25" s="116" t="s">
        <v>167</v>
      </c>
      <c r="E25" s="238"/>
    </row>
    <row r="26" spans="1:5" ht="28.8" x14ac:dyDescent="0.3">
      <c r="A26" s="77" t="s">
        <v>168</v>
      </c>
      <c r="B26" s="119">
        <v>0.2</v>
      </c>
      <c r="C26" s="127" t="s">
        <v>97</v>
      </c>
      <c r="D26" s="116" t="s">
        <v>172</v>
      </c>
      <c r="E26" s="238"/>
    </row>
    <row r="27" spans="1:5" ht="28.8" x14ac:dyDescent="0.3">
      <c r="A27" s="77" t="s">
        <v>162</v>
      </c>
      <c r="B27" s="118">
        <v>9.9999999999999995E-7</v>
      </c>
      <c r="C27" s="127" t="s">
        <v>97</v>
      </c>
      <c r="D27" s="116" t="s">
        <v>169</v>
      </c>
      <c r="E27" s="238"/>
    </row>
    <row r="28" spans="1:5" ht="29.4" thickBot="1" x14ac:dyDescent="0.35">
      <c r="A28" s="89" t="s">
        <v>163</v>
      </c>
      <c r="B28" s="120">
        <v>0.02</v>
      </c>
      <c r="C28" s="124" t="s">
        <v>97</v>
      </c>
      <c r="D28" s="117" t="s">
        <v>170</v>
      </c>
      <c r="E28" s="239"/>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f>40/(17*1000)</f>
        <v>2.352941176470588E-3</v>
      </c>
      <c r="C1" s="90" t="s">
        <v>87</v>
      </c>
      <c r="D1" s="145" t="s">
        <v>20</v>
      </c>
      <c r="E1" s="254" t="s">
        <v>232</v>
      </c>
      <c r="F1" s="69"/>
      <c r="G1" s="69"/>
      <c r="H1" s="69"/>
      <c r="I1" s="69"/>
      <c r="J1" s="69"/>
    </row>
    <row r="2" spans="1:10" x14ac:dyDescent="0.25">
      <c r="A2" s="77" t="s">
        <v>75</v>
      </c>
      <c r="B2" s="131">
        <v>9.9999999999999995E-21</v>
      </c>
      <c r="C2" s="90" t="s">
        <v>87</v>
      </c>
      <c r="D2" s="145" t="s">
        <v>20</v>
      </c>
      <c r="E2" s="254"/>
      <c r="F2" s="69"/>
      <c r="G2" s="69"/>
      <c r="H2" s="69"/>
      <c r="I2" s="69"/>
      <c r="J2" s="69"/>
    </row>
    <row r="3" spans="1:10" x14ac:dyDescent="0.25">
      <c r="A3" s="77" t="s">
        <v>80</v>
      </c>
      <c r="B3" s="131">
        <v>9.9999999999999995E-21</v>
      </c>
      <c r="C3" s="90" t="s">
        <v>87</v>
      </c>
      <c r="D3" s="145" t="s">
        <v>20</v>
      </c>
      <c r="E3" s="254"/>
      <c r="F3" s="69"/>
      <c r="G3" s="69"/>
      <c r="H3" s="69"/>
      <c r="I3" s="69"/>
      <c r="J3" s="69"/>
    </row>
    <row r="4" spans="1:10" x14ac:dyDescent="0.25">
      <c r="A4" s="77" t="s">
        <v>81</v>
      </c>
      <c r="B4" s="131">
        <f>6/(32*1000)</f>
        <v>1.875E-4</v>
      </c>
      <c r="C4" s="90" t="s">
        <v>87</v>
      </c>
      <c r="D4" s="145" t="s">
        <v>90</v>
      </c>
      <c r="E4" s="254"/>
      <c r="F4" s="69"/>
      <c r="G4" s="69"/>
      <c r="H4" s="69"/>
      <c r="I4" s="69"/>
      <c r="J4" s="69"/>
    </row>
    <row r="5" spans="1:10" x14ac:dyDescent="0.25">
      <c r="A5" s="77" t="s">
        <v>82</v>
      </c>
      <c r="B5" s="131">
        <v>1E-3</v>
      </c>
      <c r="C5" s="90" t="s">
        <v>87</v>
      </c>
      <c r="D5" s="145" t="s">
        <v>90</v>
      </c>
      <c r="E5" s="254"/>
      <c r="F5" s="94"/>
      <c r="G5" s="69"/>
      <c r="H5" s="69"/>
      <c r="I5" s="69"/>
      <c r="J5" s="69"/>
    </row>
    <row r="6" spans="1:10" x14ac:dyDescent="0.25">
      <c r="A6" s="77" t="s">
        <v>83</v>
      </c>
      <c r="B6" s="131">
        <f>B1/2</f>
        <v>1.176470588235294E-3</v>
      </c>
      <c r="C6" s="90" t="s">
        <v>87</v>
      </c>
      <c r="D6" s="145" t="s">
        <v>90</v>
      </c>
      <c r="E6" s="254"/>
      <c r="F6" s="94"/>
      <c r="G6" s="69"/>
      <c r="H6" s="69"/>
      <c r="I6" s="69"/>
      <c r="J6" s="69"/>
    </row>
    <row r="7" spans="1:10" x14ac:dyDescent="0.25">
      <c r="A7" s="77" t="s">
        <v>84</v>
      </c>
      <c r="B7" s="131">
        <f>B5</f>
        <v>1E-3</v>
      </c>
      <c r="C7" s="90" t="s">
        <v>87</v>
      </c>
      <c r="D7" s="145" t="s">
        <v>90</v>
      </c>
      <c r="E7" s="254"/>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2" t="s">
        <v>91</v>
      </c>
      <c r="B1" s="163" t="s">
        <v>237</v>
      </c>
      <c r="C1" s="163" t="s">
        <v>233</v>
      </c>
      <c r="D1" s="164" t="s">
        <v>234</v>
      </c>
      <c r="E1" s="163" t="s">
        <v>235</v>
      </c>
      <c r="F1" s="164" t="s">
        <v>236</v>
      </c>
      <c r="G1" s="164" t="s">
        <v>253</v>
      </c>
    </row>
    <row r="2" spans="1:9" ht="13.2" x14ac:dyDescent="0.25">
      <c r="A2" s="76" t="s">
        <v>74</v>
      </c>
      <c r="B2" s="172" t="s">
        <v>92</v>
      </c>
      <c r="C2" s="172">
        <v>-79.37</v>
      </c>
      <c r="D2" s="172">
        <v>-26.57</v>
      </c>
      <c r="E2" s="172" t="s">
        <v>92</v>
      </c>
      <c r="F2" s="172" t="s">
        <v>92</v>
      </c>
      <c r="G2" s="169">
        <v>3</v>
      </c>
      <c r="H2" s="165" t="s">
        <v>88</v>
      </c>
      <c r="I2" s="253" t="s">
        <v>254</v>
      </c>
    </row>
    <row r="3" spans="1:9" ht="13.2" x14ac:dyDescent="0.25">
      <c r="A3" s="77" t="s">
        <v>75</v>
      </c>
      <c r="B3" s="172" t="s">
        <v>92</v>
      </c>
      <c r="C3" s="172">
        <v>-50.6</v>
      </c>
      <c r="D3" s="172">
        <v>-32.200000000000003</v>
      </c>
      <c r="E3" s="172" t="s">
        <v>92</v>
      </c>
      <c r="F3" s="172" t="s">
        <v>92</v>
      </c>
      <c r="G3" s="170">
        <v>2</v>
      </c>
      <c r="H3" s="166" t="s">
        <v>88</v>
      </c>
      <c r="I3" s="253"/>
    </row>
    <row r="4" spans="1:9" ht="13.2" x14ac:dyDescent="0.25">
      <c r="A4" s="77" t="s">
        <v>80</v>
      </c>
      <c r="B4" s="172" t="s">
        <v>92</v>
      </c>
      <c r="C4" s="172">
        <v>-103.7</v>
      </c>
      <c r="D4" s="172">
        <v>-111.3</v>
      </c>
      <c r="E4" s="172" t="s">
        <v>92</v>
      </c>
      <c r="F4" s="172" t="s">
        <v>92</v>
      </c>
      <c r="G4" s="170">
        <v>2</v>
      </c>
      <c r="H4" s="166" t="s">
        <v>88</v>
      </c>
      <c r="I4" s="253"/>
    </row>
    <row r="5" spans="1:9" ht="13.2" x14ac:dyDescent="0.25">
      <c r="A5" s="77" t="s">
        <v>81</v>
      </c>
      <c r="B5" s="172" t="s">
        <v>92</v>
      </c>
      <c r="C5" s="172">
        <v>16.399999999999999</v>
      </c>
      <c r="D5" s="172" t="s">
        <v>92</v>
      </c>
      <c r="E5" s="172" t="s">
        <v>92</v>
      </c>
      <c r="F5" s="172" t="s">
        <v>92</v>
      </c>
      <c r="G5" s="170">
        <v>2</v>
      </c>
      <c r="H5" s="166" t="s">
        <v>88</v>
      </c>
      <c r="I5" s="253"/>
    </row>
    <row r="6" spans="1:9" ht="13.2" x14ac:dyDescent="0.25">
      <c r="A6" s="77" t="s">
        <v>82</v>
      </c>
      <c r="B6" s="172">
        <f>-386</f>
        <v>-386</v>
      </c>
      <c r="C6" s="172">
        <v>-623.16</v>
      </c>
      <c r="D6" s="172">
        <v>-586.85</v>
      </c>
      <c r="E6" s="172">
        <v>-527.79999999999995</v>
      </c>
      <c r="F6" s="172" t="s">
        <v>92</v>
      </c>
      <c r="G6" s="170">
        <v>3</v>
      </c>
      <c r="H6" s="166" t="s">
        <v>88</v>
      </c>
      <c r="I6" s="253"/>
    </row>
    <row r="7" spans="1:9" ht="13.2" x14ac:dyDescent="0.25">
      <c r="A7" s="77" t="s">
        <v>83</v>
      </c>
      <c r="B7" s="176" t="s">
        <v>92</v>
      </c>
      <c r="C7" s="176">
        <v>-755.9</v>
      </c>
      <c r="D7" s="176">
        <f>-180.69*4.184</f>
        <v>-756.00696000000005</v>
      </c>
      <c r="E7" s="176">
        <f>-177.97*4.184</f>
        <v>-744.62648000000002</v>
      </c>
      <c r="F7" s="176" t="s">
        <v>92</v>
      </c>
      <c r="G7" s="171">
        <v>4</v>
      </c>
      <c r="H7" s="74" t="s">
        <v>88</v>
      </c>
      <c r="I7" s="253"/>
    </row>
    <row r="8" spans="1:9" s="71" customFormat="1" ht="13.2" x14ac:dyDescent="0.25">
      <c r="A8" s="151" t="s">
        <v>84</v>
      </c>
      <c r="B8" s="178" t="s">
        <v>92</v>
      </c>
      <c r="C8" s="178">
        <v>0</v>
      </c>
      <c r="D8" s="178" t="s">
        <v>92</v>
      </c>
      <c r="E8" s="178" t="s">
        <v>92</v>
      </c>
      <c r="F8" s="179" t="s">
        <v>92</v>
      </c>
      <c r="G8" s="198">
        <v>2</v>
      </c>
      <c r="H8" s="73" t="s">
        <v>88</v>
      </c>
      <c r="I8" s="253"/>
    </row>
    <row r="9" spans="1:9" s="71" customFormat="1" ht="13.2" x14ac:dyDescent="0.25">
      <c r="A9" s="108" t="s">
        <v>85</v>
      </c>
      <c r="B9" s="180" t="s">
        <v>92</v>
      </c>
      <c r="C9" s="178">
        <v>0</v>
      </c>
      <c r="D9" s="178" t="s">
        <v>92</v>
      </c>
      <c r="E9" s="178" t="s">
        <v>92</v>
      </c>
      <c r="F9" s="179" t="s">
        <v>92</v>
      </c>
      <c r="G9" s="198">
        <v>2</v>
      </c>
      <c r="H9" s="93" t="s">
        <v>89</v>
      </c>
      <c r="I9" s="253"/>
    </row>
    <row r="10" spans="1:9" s="71" customFormat="1" ht="13.2" x14ac:dyDescent="0.25">
      <c r="A10" s="160" t="s">
        <v>86</v>
      </c>
      <c r="B10" s="177" t="s">
        <v>92</v>
      </c>
      <c r="C10" s="177">
        <v>-237.18</v>
      </c>
      <c r="D10" s="177">
        <v>-157.30000000000001</v>
      </c>
      <c r="E10" s="177" t="s">
        <v>92</v>
      </c>
      <c r="F10" s="177" t="s">
        <v>92</v>
      </c>
      <c r="G10" s="197">
        <v>2</v>
      </c>
      <c r="H10" s="73" t="s">
        <v>88</v>
      </c>
      <c r="I10" s="253"/>
    </row>
    <row r="11" spans="1:9" s="71" customFormat="1" thickBot="1" x14ac:dyDescent="0.3">
      <c r="A11" s="161" t="s">
        <v>18</v>
      </c>
      <c r="B11" s="172" t="s">
        <v>92</v>
      </c>
      <c r="C11" s="172">
        <v>0</v>
      </c>
      <c r="D11" s="172" t="s">
        <v>92</v>
      </c>
      <c r="E11" s="172" t="s">
        <v>92</v>
      </c>
      <c r="F11" s="172" t="s">
        <v>92</v>
      </c>
      <c r="G11" s="171">
        <v>2</v>
      </c>
      <c r="H11" s="74" t="s">
        <v>88</v>
      </c>
      <c r="I11" s="253"/>
    </row>
    <row r="12" spans="1:9" s="71" customFormat="1" ht="28.2" customHeight="1" thickBot="1" x14ac:dyDescent="0.3">
      <c r="A12" s="162" t="s">
        <v>91</v>
      </c>
      <c r="B12" s="167" t="s">
        <v>239</v>
      </c>
      <c r="C12" s="167" t="s">
        <v>240</v>
      </c>
      <c r="D12" s="168" t="s">
        <v>241</v>
      </c>
      <c r="E12" s="167" t="s">
        <v>242</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54" t="s">
        <v>255</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54"/>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54"/>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54"/>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54"/>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54"/>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54"/>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54"/>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54"/>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54"/>
    </row>
    <row r="23" spans="1:9" ht="28.2" customHeight="1" thickBot="1" x14ac:dyDescent="0.3">
      <c r="A23" s="255" t="s">
        <v>238</v>
      </c>
      <c r="B23" s="256"/>
      <c r="C23" s="256"/>
      <c r="D23" s="256"/>
      <c r="E23" s="256"/>
      <c r="F23" s="257"/>
    </row>
    <row r="24" spans="1:9" ht="13.2" x14ac:dyDescent="0.25">
      <c r="A24" s="76" t="s">
        <v>74</v>
      </c>
      <c r="B24" s="175" t="s">
        <v>93</v>
      </c>
      <c r="C24" s="175">
        <v>1</v>
      </c>
      <c r="D24" s="175">
        <v>0</v>
      </c>
      <c r="E24" s="175" t="s">
        <v>93</v>
      </c>
      <c r="F24" s="175" t="s">
        <v>93</v>
      </c>
      <c r="I24" s="254" t="s">
        <v>256</v>
      </c>
    </row>
    <row r="25" spans="1:9" ht="13.2" x14ac:dyDescent="0.25">
      <c r="A25" s="77" t="s">
        <v>75</v>
      </c>
      <c r="B25" s="175" t="s">
        <v>93</v>
      </c>
      <c r="C25" s="175">
        <v>0</v>
      </c>
      <c r="D25" s="175">
        <v>-1</v>
      </c>
      <c r="E25" s="175" t="s">
        <v>93</v>
      </c>
      <c r="F25" s="175" t="s">
        <v>93</v>
      </c>
      <c r="I25" s="254"/>
    </row>
    <row r="26" spans="1:9" ht="13.2" x14ac:dyDescent="0.25">
      <c r="A26" s="77" t="s">
        <v>80</v>
      </c>
      <c r="B26" s="175" t="s">
        <v>93</v>
      </c>
      <c r="C26" s="175">
        <v>0</v>
      </c>
      <c r="D26" s="175">
        <v>-1</v>
      </c>
      <c r="E26" s="175" t="s">
        <v>93</v>
      </c>
      <c r="F26" s="175" t="s">
        <v>93</v>
      </c>
      <c r="I26" s="254"/>
    </row>
    <row r="27" spans="1:9" ht="13.2" x14ac:dyDescent="0.25">
      <c r="A27" s="77" t="s">
        <v>81</v>
      </c>
      <c r="B27" s="175" t="s">
        <v>93</v>
      </c>
      <c r="C27" s="175">
        <v>0</v>
      </c>
      <c r="D27" s="175" t="s">
        <v>93</v>
      </c>
      <c r="E27" s="175" t="s">
        <v>93</v>
      </c>
      <c r="F27" s="175" t="s">
        <v>93</v>
      </c>
      <c r="I27" s="254"/>
    </row>
    <row r="28" spans="1:9" ht="13.2" x14ac:dyDescent="0.25">
      <c r="A28" s="77" t="s">
        <v>82</v>
      </c>
      <c r="B28" s="175">
        <v>0</v>
      </c>
      <c r="C28" s="175">
        <v>0</v>
      </c>
      <c r="D28" s="175">
        <v>-1</v>
      </c>
      <c r="E28" s="175">
        <v>-2</v>
      </c>
      <c r="F28" s="175" t="s">
        <v>93</v>
      </c>
      <c r="I28" s="254"/>
    </row>
    <row r="29" spans="1:9" ht="13.2" x14ac:dyDescent="0.25">
      <c r="A29" s="108" t="s">
        <v>83</v>
      </c>
      <c r="B29" s="187" t="s">
        <v>93</v>
      </c>
      <c r="C29" s="188">
        <v>0</v>
      </c>
      <c r="D29" s="188">
        <v>-1</v>
      </c>
      <c r="E29" s="188">
        <v>-2</v>
      </c>
      <c r="F29" s="188" t="s">
        <v>93</v>
      </c>
      <c r="I29" s="254"/>
    </row>
    <row r="30" spans="1:9" ht="13.2" x14ac:dyDescent="0.25">
      <c r="A30" s="151" t="s">
        <v>84</v>
      </c>
      <c r="B30" s="191" t="s">
        <v>93</v>
      </c>
      <c r="C30" s="192">
        <v>1</v>
      </c>
      <c r="D30" s="192" t="s">
        <v>93</v>
      </c>
      <c r="E30" s="192" t="s">
        <v>93</v>
      </c>
      <c r="F30" s="192" t="s">
        <v>93</v>
      </c>
      <c r="I30" s="254"/>
    </row>
    <row r="31" spans="1:9" ht="13.2" x14ac:dyDescent="0.25">
      <c r="A31" s="151" t="s">
        <v>85</v>
      </c>
      <c r="B31" s="189" t="s">
        <v>93</v>
      </c>
      <c r="C31" s="190">
        <v>0</v>
      </c>
      <c r="D31" s="190" t="s">
        <v>93</v>
      </c>
      <c r="E31" s="190" t="s">
        <v>93</v>
      </c>
      <c r="F31" s="190" t="s">
        <v>93</v>
      </c>
      <c r="I31" s="254"/>
    </row>
    <row r="32" spans="1:9" ht="13.2" x14ac:dyDescent="0.25">
      <c r="A32" s="160" t="s">
        <v>86</v>
      </c>
      <c r="B32" s="186" t="s">
        <v>93</v>
      </c>
      <c r="C32" s="186">
        <v>0</v>
      </c>
      <c r="D32" s="186">
        <v>-1</v>
      </c>
      <c r="E32" s="186" t="s">
        <v>93</v>
      </c>
      <c r="F32" s="186" t="s">
        <v>93</v>
      </c>
      <c r="I32" s="254"/>
    </row>
    <row r="33" spans="1:9" thickBot="1" x14ac:dyDescent="0.3">
      <c r="A33" s="161" t="s">
        <v>18</v>
      </c>
      <c r="B33" s="175" t="s">
        <v>93</v>
      </c>
      <c r="C33" s="175">
        <v>1</v>
      </c>
      <c r="D33" s="175" t="s">
        <v>93</v>
      </c>
      <c r="E33" s="175" t="s">
        <v>93</v>
      </c>
      <c r="F33" s="175" t="s">
        <v>93</v>
      </c>
      <c r="I33" s="254"/>
    </row>
  </sheetData>
  <mergeCells count="4">
    <mergeCell ref="A23:F23"/>
    <mergeCell ref="I2:I11"/>
    <mergeCell ref="I13:I22"/>
    <mergeCell ref="I24:I33"/>
  </mergeCells>
  <conditionalFormatting sqref="B2:F11 B24:F33 B13:E17 B19:E22 B18 D18:E18">
    <cfRule type="containsText" dxfId="44" priority="54" operator="containsText" text="NA">
      <formula>NOT(ISERROR(SEARCH("NA",B2)))</formula>
    </cfRule>
    <cfRule type="containsText" dxfId="43" priority="55" operator="containsText" text="Inf">
      <formula>NOT(ISERROR(SEARCH("Inf",B2)))</formula>
    </cfRule>
  </conditionalFormatting>
  <conditionalFormatting sqref="B13:E17 B19:E22 B18 D18:E18">
    <cfRule type="cellIs" dxfId="4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7"/>
  <sheetViews>
    <sheetView workbookViewId="0">
      <selection activeCell="C12" sqref="C12"/>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8" customHeight="1" thickBot="1" x14ac:dyDescent="0.3">
      <c r="A1" s="64"/>
      <c r="B1" s="156" t="s">
        <v>74</v>
      </c>
      <c r="C1" s="156" t="s">
        <v>75</v>
      </c>
      <c r="D1" s="156" t="s">
        <v>81</v>
      </c>
      <c r="E1" s="250" t="s">
        <v>250</v>
      </c>
    </row>
    <row r="2" spans="1:5" ht="13.2" customHeight="1" x14ac:dyDescent="0.25">
      <c r="A2" s="76" t="s">
        <v>73</v>
      </c>
      <c r="B2" s="157">
        <v>1.4529411764705884E-6</v>
      </c>
      <c r="C2" s="157">
        <v>0</v>
      </c>
      <c r="D2" s="157">
        <v>3.5937500000000001E-6</v>
      </c>
      <c r="E2" s="250"/>
    </row>
    <row r="3" spans="1:5" ht="13.2" customHeight="1" x14ac:dyDescent="0.25">
      <c r="A3" s="77" t="s">
        <v>251</v>
      </c>
      <c r="B3" s="157">
        <v>0</v>
      </c>
      <c r="C3" s="157">
        <v>4.4468085106382973E-9</v>
      </c>
      <c r="D3" s="157">
        <v>7.8125000000000002E-6</v>
      </c>
      <c r="E3" s="250"/>
    </row>
    <row r="4" spans="1:5" ht="13.2" customHeight="1" x14ac:dyDescent="0.25">
      <c r="A4" s="77" t="s">
        <v>252</v>
      </c>
      <c r="B4" s="157">
        <v>0</v>
      </c>
      <c r="C4" s="157">
        <v>8.8936170212765954E-11</v>
      </c>
      <c r="D4" s="157">
        <v>2.5937500000000004E-6</v>
      </c>
      <c r="E4" s="250"/>
    </row>
    <row r="5" spans="1:5" ht="13.8" customHeight="1" thickBot="1" x14ac:dyDescent="0.3">
      <c r="A5" s="89" t="s">
        <v>76</v>
      </c>
      <c r="B5" s="157">
        <v>4.1176470588235295E-7</v>
      </c>
      <c r="C5" s="157">
        <v>1.6319148936170212E-11</v>
      </c>
      <c r="D5" s="157">
        <v>0</v>
      </c>
      <c r="E5" s="250"/>
    </row>
    <row r="6" spans="1:5" ht="13.2" customHeight="1" x14ac:dyDescent="0.25">
      <c r="E6" s="219"/>
    </row>
    <row r="7" spans="1:5" ht="13.2" customHeight="1" x14ac:dyDescent="0.25">
      <c r="E7" s="219"/>
    </row>
  </sheetData>
  <mergeCells count="1">
    <mergeCell ref="E1:E5"/>
  </mergeCells>
  <phoneticPr fontId="40" type="noConversion"/>
  <conditionalFormatting sqref="B2:D7">
    <cfRule type="cellIs" dxfId="4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5"/>
  <sheetViews>
    <sheetView workbookViewId="0">
      <selection activeCell="D9" sqref="D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50" t="s">
        <v>249</v>
      </c>
    </row>
    <row r="2" spans="1:5" ht="13.2" customHeight="1" x14ac:dyDescent="0.25">
      <c r="A2" s="76" t="s">
        <v>73</v>
      </c>
      <c r="B2" s="157">
        <v>0</v>
      </c>
      <c r="C2" s="157">
        <v>1.1702127659574469E-5</v>
      </c>
      <c r="D2" s="157">
        <v>0</v>
      </c>
      <c r="E2" s="250"/>
    </row>
    <row r="3" spans="1:5" ht="13.2" customHeight="1" x14ac:dyDescent="0.25">
      <c r="A3" s="77" t="s">
        <v>251</v>
      </c>
      <c r="B3" s="157">
        <v>1.5214285714285714E-3</v>
      </c>
      <c r="C3" s="157">
        <v>0</v>
      </c>
      <c r="D3" s="157">
        <v>0</v>
      </c>
      <c r="E3" s="250"/>
    </row>
    <row r="4" spans="1:5" ht="13.2" customHeight="1" x14ac:dyDescent="0.25">
      <c r="A4" s="77" t="s">
        <v>252</v>
      </c>
      <c r="B4" s="157">
        <v>1.3000000000000002E-4</v>
      </c>
      <c r="C4" s="157">
        <v>0</v>
      </c>
      <c r="D4" s="157">
        <v>0</v>
      </c>
      <c r="E4" s="250"/>
    </row>
    <row r="5" spans="1:5" ht="13.2" customHeight="1" thickBot="1" x14ac:dyDescent="0.3">
      <c r="A5" s="89" t="s">
        <v>76</v>
      </c>
      <c r="B5" s="157">
        <v>0</v>
      </c>
      <c r="C5" s="157">
        <v>0</v>
      </c>
      <c r="D5" s="157">
        <v>3.1250000000000003E-7</v>
      </c>
      <c r="E5" s="250"/>
    </row>
  </sheetData>
  <mergeCells count="1">
    <mergeCell ref="E1:E5"/>
  </mergeCells>
  <conditionalFormatting sqref="B2:D5">
    <cfRule type="cellIs" dxfId="40"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5"/>
  <sheetViews>
    <sheetView workbookViewId="0">
      <selection activeCell="F10" sqref="F10"/>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64.44140625" customWidth="1"/>
  </cols>
  <sheetData>
    <row r="1" spans="1:6" ht="13.8" thickBot="1" x14ac:dyDescent="0.3">
      <c r="B1" s="156" t="s">
        <v>248</v>
      </c>
      <c r="C1" s="156" t="s">
        <v>72</v>
      </c>
      <c r="D1" s="156" t="s">
        <v>246</v>
      </c>
      <c r="E1" s="156" t="s">
        <v>247</v>
      </c>
    </row>
    <row r="2" spans="1:6" ht="13.2" customHeight="1" x14ac:dyDescent="0.25">
      <c r="A2" s="76" t="s">
        <v>73</v>
      </c>
      <c r="B2" s="157">
        <f>0.0415</f>
        <v>4.1500000000000002E-2</v>
      </c>
      <c r="C2" s="158" t="s">
        <v>74</v>
      </c>
      <c r="D2" s="159"/>
      <c r="E2" s="159"/>
      <c r="F2" s="234" t="s">
        <v>279</v>
      </c>
    </row>
    <row r="3" spans="1:6" ht="13.2" customHeight="1" x14ac:dyDescent="0.25">
      <c r="A3" s="77" t="s">
        <v>251</v>
      </c>
      <c r="B3" s="157">
        <v>2.07E-2</v>
      </c>
      <c r="C3" s="158" t="s">
        <v>75</v>
      </c>
      <c r="D3" s="159"/>
      <c r="E3" s="159"/>
      <c r="F3" s="234"/>
    </row>
    <row r="4" spans="1:6" ht="13.2" customHeight="1" x14ac:dyDescent="0.25">
      <c r="A4" s="77" t="s">
        <v>252</v>
      </c>
      <c r="B4" s="157">
        <v>2.07E-2</v>
      </c>
      <c r="C4" s="158" t="s">
        <v>75</v>
      </c>
      <c r="D4" s="159"/>
      <c r="E4" s="159"/>
      <c r="F4" s="234"/>
    </row>
    <row r="5" spans="1:6" ht="13.2" customHeight="1" thickBot="1" x14ac:dyDescent="0.3">
      <c r="A5" s="89" t="s">
        <v>76</v>
      </c>
      <c r="B5" s="157">
        <f>0.066</f>
        <v>6.6000000000000003E-2</v>
      </c>
      <c r="C5" s="158" t="s">
        <v>74</v>
      </c>
      <c r="D5" s="159"/>
      <c r="E5" s="159"/>
      <c r="F5" s="23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zoomScaleNormal="100" workbookViewId="0">
      <pane xSplit="1" ySplit="2" topLeftCell="B3" activePane="bottomRight" state="frozen"/>
      <selection pane="topRight" activeCell="B1" sqref="B1"/>
      <selection pane="bottomLeft" activeCell="A3" sqref="A3"/>
      <selection pane="bottomRight" activeCell="G25" sqref="G25"/>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3" x14ac:dyDescent="0.25">
      <c r="A1" s="69"/>
      <c r="B1" s="258" t="s">
        <v>73</v>
      </c>
      <c r="C1" s="259"/>
      <c r="D1" s="260"/>
      <c r="E1" s="258" t="s">
        <v>251</v>
      </c>
      <c r="F1" s="259"/>
      <c r="G1" s="260"/>
      <c r="H1" s="258" t="s">
        <v>252</v>
      </c>
      <c r="I1" s="259"/>
      <c r="J1" s="260"/>
      <c r="K1" s="259" t="s">
        <v>76</v>
      </c>
      <c r="L1" s="259"/>
      <c r="M1" s="260"/>
    </row>
    <row r="2" spans="1:13"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row>
    <row r="3" spans="1:13" x14ac:dyDescent="0.25">
      <c r="A3" s="76" t="s">
        <v>74</v>
      </c>
      <c r="B3" s="206">
        <v>-1</v>
      </c>
      <c r="C3" s="105">
        <v>0</v>
      </c>
      <c r="D3" s="207">
        <v>0</v>
      </c>
      <c r="E3" s="206">
        <v>0</v>
      </c>
      <c r="F3" s="105">
        <v>0</v>
      </c>
      <c r="G3" s="207">
        <v>0</v>
      </c>
      <c r="H3" s="206">
        <v>0</v>
      </c>
      <c r="I3" s="105">
        <v>0</v>
      </c>
      <c r="J3" s="207">
        <v>0</v>
      </c>
      <c r="K3" s="206">
        <v>-1</v>
      </c>
      <c r="L3" s="105">
        <v>0</v>
      </c>
      <c r="M3" s="207">
        <v>0</v>
      </c>
    </row>
    <row r="4" spans="1:13" x14ac:dyDescent="0.25">
      <c r="A4" s="77" t="s">
        <v>75</v>
      </c>
      <c r="B4" s="208">
        <v>1</v>
      </c>
      <c r="C4" s="209">
        <v>0</v>
      </c>
      <c r="D4" s="210">
        <v>0</v>
      </c>
      <c r="E4" s="208">
        <v>-1</v>
      </c>
      <c r="F4" s="209">
        <v>0</v>
      </c>
      <c r="G4" s="210">
        <v>0</v>
      </c>
      <c r="H4" s="208">
        <v>-1</v>
      </c>
      <c r="I4" s="209">
        <v>0</v>
      </c>
      <c r="J4" s="210">
        <v>0</v>
      </c>
      <c r="K4" s="208">
        <v>-1</v>
      </c>
      <c r="L4" s="209">
        <v>0</v>
      </c>
      <c r="M4" s="210">
        <v>0</v>
      </c>
    </row>
    <row r="5" spans="1:13" x14ac:dyDescent="0.25">
      <c r="A5" s="77" t="s">
        <v>80</v>
      </c>
      <c r="B5" s="208">
        <v>0</v>
      </c>
      <c r="C5" s="209">
        <v>0</v>
      </c>
      <c r="D5" s="210">
        <v>0</v>
      </c>
      <c r="E5" s="208">
        <v>1</v>
      </c>
      <c r="F5" s="209">
        <v>0</v>
      </c>
      <c r="G5" s="210">
        <v>0</v>
      </c>
      <c r="H5" s="208">
        <v>1</v>
      </c>
      <c r="I5" s="209">
        <v>0</v>
      </c>
      <c r="J5" s="210">
        <v>0</v>
      </c>
      <c r="K5" s="208">
        <v>0</v>
      </c>
      <c r="L5" s="209">
        <v>0</v>
      </c>
      <c r="M5" s="210">
        <v>0</v>
      </c>
    </row>
    <row r="6" spans="1:13" x14ac:dyDescent="0.25">
      <c r="A6" s="77" t="s">
        <v>81</v>
      </c>
      <c r="B6" s="208">
        <v>-1.5</v>
      </c>
      <c r="C6" s="209">
        <v>0</v>
      </c>
      <c r="D6" s="210">
        <v>0</v>
      </c>
      <c r="E6" s="208">
        <v>-0.5</v>
      </c>
      <c r="F6" s="209">
        <v>0</v>
      </c>
      <c r="G6" s="210">
        <v>0</v>
      </c>
      <c r="H6" s="208">
        <v>-0.5</v>
      </c>
      <c r="I6" s="209">
        <v>0</v>
      </c>
      <c r="J6" s="210">
        <v>0</v>
      </c>
      <c r="K6" s="208">
        <v>0</v>
      </c>
      <c r="L6" s="209">
        <v>0</v>
      </c>
      <c r="M6" s="210">
        <v>0</v>
      </c>
    </row>
    <row r="7" spans="1:13" s="63" customFormat="1" x14ac:dyDescent="0.25">
      <c r="A7" s="77" t="s">
        <v>82</v>
      </c>
      <c r="B7" s="208">
        <v>0</v>
      </c>
      <c r="C7" s="209">
        <v>-1</v>
      </c>
      <c r="D7" s="210">
        <v>1</v>
      </c>
      <c r="E7" s="208">
        <v>0</v>
      </c>
      <c r="F7" s="209">
        <v>-1</v>
      </c>
      <c r="G7" s="210">
        <v>1</v>
      </c>
      <c r="H7" s="208">
        <v>0</v>
      </c>
      <c r="I7" s="209">
        <v>-1</v>
      </c>
      <c r="J7" s="210">
        <v>1</v>
      </c>
      <c r="K7" s="208">
        <v>0</v>
      </c>
      <c r="L7" s="209">
        <v>-1</v>
      </c>
      <c r="M7" s="210">
        <v>1</v>
      </c>
    </row>
    <row r="8" spans="1:13" s="63" customFormat="1" x14ac:dyDescent="0.25">
      <c r="A8" s="77" t="s">
        <v>83</v>
      </c>
      <c r="B8" s="211">
        <v>0</v>
      </c>
      <c r="C8" s="203">
        <v>0</v>
      </c>
      <c r="D8" s="212">
        <v>0</v>
      </c>
      <c r="E8" s="211">
        <v>0</v>
      </c>
      <c r="F8" s="203">
        <v>0</v>
      </c>
      <c r="G8" s="212">
        <v>0</v>
      </c>
      <c r="H8" s="211">
        <v>0</v>
      </c>
      <c r="I8" s="203">
        <v>0</v>
      </c>
      <c r="J8" s="212">
        <v>0</v>
      </c>
      <c r="K8" s="211">
        <v>0</v>
      </c>
      <c r="L8" s="203">
        <v>0</v>
      </c>
      <c r="M8" s="212">
        <v>0</v>
      </c>
    </row>
    <row r="9" spans="1:13" x14ac:dyDescent="0.25">
      <c r="A9" s="151" t="s">
        <v>84</v>
      </c>
      <c r="B9" s="204">
        <v>0</v>
      </c>
      <c r="C9" s="205">
        <v>0</v>
      </c>
      <c r="D9" s="213">
        <v>0</v>
      </c>
      <c r="E9" s="204">
        <v>0</v>
      </c>
      <c r="F9" s="205">
        <v>0</v>
      </c>
      <c r="G9" s="213">
        <v>0</v>
      </c>
      <c r="H9" s="204">
        <v>0</v>
      </c>
      <c r="I9" s="205">
        <v>0</v>
      </c>
      <c r="J9" s="213">
        <v>0</v>
      </c>
      <c r="K9" s="204">
        <v>0</v>
      </c>
      <c r="L9" s="205">
        <v>0</v>
      </c>
      <c r="M9" s="213">
        <v>0</v>
      </c>
    </row>
    <row r="10" spans="1:13" x14ac:dyDescent="0.25">
      <c r="A10" s="151" t="s">
        <v>85</v>
      </c>
      <c r="B10" s="204">
        <v>0</v>
      </c>
      <c r="C10" s="205">
        <v>0</v>
      </c>
      <c r="D10" s="213">
        <v>0</v>
      </c>
      <c r="E10" s="204">
        <v>0</v>
      </c>
      <c r="F10" s="205">
        <v>0</v>
      </c>
      <c r="G10" s="213">
        <v>0</v>
      </c>
      <c r="H10" s="204">
        <v>0</v>
      </c>
      <c r="I10" s="205">
        <v>0</v>
      </c>
      <c r="J10" s="213">
        <v>0</v>
      </c>
      <c r="K10" s="204">
        <v>1</v>
      </c>
      <c r="L10" s="205">
        <v>0</v>
      </c>
      <c r="M10" s="213">
        <v>0</v>
      </c>
    </row>
    <row r="11" spans="1:13" x14ac:dyDescent="0.25">
      <c r="A11" s="199" t="s">
        <v>86</v>
      </c>
      <c r="B11" s="214">
        <v>1</v>
      </c>
      <c r="C11" s="102">
        <v>0</v>
      </c>
      <c r="D11" s="215">
        <v>0</v>
      </c>
      <c r="E11" s="214">
        <v>0</v>
      </c>
      <c r="F11" s="102">
        <v>0</v>
      </c>
      <c r="G11" s="215">
        <v>0</v>
      </c>
      <c r="H11" s="214">
        <v>0</v>
      </c>
      <c r="I11" s="102">
        <v>0</v>
      </c>
      <c r="J11" s="215">
        <v>0</v>
      </c>
      <c r="K11" s="214">
        <v>2</v>
      </c>
      <c r="L11" s="102">
        <v>0</v>
      </c>
      <c r="M11" s="215">
        <v>0</v>
      </c>
    </row>
    <row r="12" spans="1:13" ht="13.8" thickBot="1" x14ac:dyDescent="0.3">
      <c r="A12" s="161" t="s">
        <v>18</v>
      </c>
      <c r="B12" s="100">
        <v>1</v>
      </c>
      <c r="C12" s="216">
        <v>0</v>
      </c>
      <c r="D12" s="217">
        <v>0</v>
      </c>
      <c r="E12" s="100">
        <v>0</v>
      </c>
      <c r="F12" s="216">
        <v>0</v>
      </c>
      <c r="G12" s="217">
        <v>0</v>
      </c>
      <c r="H12" s="100">
        <v>0</v>
      </c>
      <c r="I12" s="216">
        <v>0</v>
      </c>
      <c r="J12" s="217">
        <v>0</v>
      </c>
      <c r="K12" s="100">
        <v>0</v>
      </c>
      <c r="L12" s="216">
        <v>0</v>
      </c>
      <c r="M12" s="217">
        <v>0</v>
      </c>
    </row>
  </sheetData>
  <mergeCells count="4">
    <mergeCell ref="B1:D1"/>
    <mergeCell ref="E1:G1"/>
    <mergeCell ref="H1:J1"/>
    <mergeCell ref="K1:M1"/>
  </mergeCells>
  <conditionalFormatting sqref="B10:B12 E3:F7 E10:G12 J10:J12">
    <cfRule type="cellIs" dxfId="39" priority="94" operator="equal">
      <formula>0</formula>
    </cfRule>
  </conditionalFormatting>
  <conditionalFormatting sqref="G3">
    <cfRule type="cellIs" dxfId="38" priority="60" operator="equal">
      <formula>0</formula>
    </cfRule>
  </conditionalFormatting>
  <conditionalFormatting sqref="D10:D12">
    <cfRule type="cellIs" dxfId="37" priority="73" operator="equal">
      <formula>0</formula>
    </cfRule>
  </conditionalFormatting>
  <conditionalFormatting sqref="D9">
    <cfRule type="cellIs" dxfId="36" priority="56" operator="equal">
      <formula>0</formula>
    </cfRule>
  </conditionalFormatting>
  <conditionalFormatting sqref="B3:B7">
    <cfRule type="cellIs" dxfId="35" priority="67" operator="equal">
      <formula>0</formula>
    </cfRule>
  </conditionalFormatting>
  <conditionalFormatting sqref="D3">
    <cfRule type="cellIs" dxfId="34" priority="66" operator="equal">
      <formula>0</formula>
    </cfRule>
  </conditionalFormatting>
  <conditionalFormatting sqref="D4:D7">
    <cfRule type="cellIs" dxfId="33" priority="65" operator="equal">
      <formula>0</formula>
    </cfRule>
  </conditionalFormatting>
  <conditionalFormatting sqref="G4:G7">
    <cfRule type="cellIs" dxfId="32" priority="59" operator="equal">
      <formula>0</formula>
    </cfRule>
  </conditionalFormatting>
  <conditionalFormatting sqref="B9">
    <cfRule type="cellIs" dxfId="31" priority="58" operator="equal">
      <formula>0</formula>
    </cfRule>
  </conditionalFormatting>
  <conditionalFormatting sqref="E9">
    <cfRule type="cellIs" dxfId="30" priority="55" operator="equal">
      <formula>0</formula>
    </cfRule>
  </conditionalFormatting>
  <conditionalFormatting sqref="F9">
    <cfRule type="cellIs" dxfId="29" priority="54" operator="equal">
      <formula>0</formula>
    </cfRule>
  </conditionalFormatting>
  <conditionalFormatting sqref="G9">
    <cfRule type="cellIs" dxfId="28" priority="53" operator="equal">
      <formula>0</formula>
    </cfRule>
  </conditionalFormatting>
  <conditionalFormatting sqref="B8">
    <cfRule type="cellIs" dxfId="27" priority="52" operator="equal">
      <formula>0</formula>
    </cfRule>
  </conditionalFormatting>
  <conditionalFormatting sqref="D8">
    <cfRule type="cellIs" dxfId="26" priority="50" operator="equal">
      <formula>0</formula>
    </cfRule>
  </conditionalFormatting>
  <conditionalFormatting sqref="E8">
    <cfRule type="cellIs" dxfId="25" priority="49" operator="equal">
      <formula>0</formula>
    </cfRule>
  </conditionalFormatting>
  <conditionalFormatting sqref="F8">
    <cfRule type="cellIs" dxfId="24" priority="48" operator="equal">
      <formula>0</formula>
    </cfRule>
  </conditionalFormatting>
  <conditionalFormatting sqref="G8">
    <cfRule type="cellIs" dxfId="23" priority="47" operator="equal">
      <formula>0</formula>
    </cfRule>
  </conditionalFormatting>
  <conditionalFormatting sqref="H3:I7 H10:I12">
    <cfRule type="cellIs" dxfId="22" priority="46" operator="equal">
      <formula>0</formula>
    </cfRule>
  </conditionalFormatting>
  <conditionalFormatting sqref="J3">
    <cfRule type="cellIs" dxfId="21" priority="42" operator="equal">
      <formula>0</formula>
    </cfRule>
  </conditionalFormatting>
  <conditionalFormatting sqref="J4:J7">
    <cfRule type="cellIs" dxfId="20" priority="41" operator="equal">
      <formula>0</formula>
    </cfRule>
  </conditionalFormatting>
  <conditionalFormatting sqref="H9">
    <cfRule type="cellIs" dxfId="19" priority="40" operator="equal">
      <formula>0</formula>
    </cfRule>
  </conditionalFormatting>
  <conditionalFormatting sqref="I9">
    <cfRule type="cellIs" dxfId="18" priority="39" operator="equal">
      <formula>0</formula>
    </cfRule>
  </conditionalFormatting>
  <conditionalFormatting sqref="J9">
    <cfRule type="cellIs" dxfId="17" priority="38" operator="equal">
      <formula>0</formula>
    </cfRule>
  </conditionalFormatting>
  <conditionalFormatting sqref="H8">
    <cfRule type="cellIs" dxfId="16" priority="37" operator="equal">
      <formula>0</formula>
    </cfRule>
  </conditionalFormatting>
  <conditionalFormatting sqref="I8">
    <cfRule type="cellIs" dxfId="15" priority="36" operator="equal">
      <formula>0</formula>
    </cfRule>
  </conditionalFormatting>
  <conditionalFormatting sqref="J8">
    <cfRule type="cellIs" dxfId="14" priority="35" operator="equal">
      <formula>0</formula>
    </cfRule>
  </conditionalFormatting>
  <conditionalFormatting sqref="L3:L7 K10:L12">
    <cfRule type="cellIs" dxfId="13" priority="34" operator="equal">
      <formula>0</formula>
    </cfRule>
  </conditionalFormatting>
  <conditionalFormatting sqref="M10:M12">
    <cfRule type="cellIs" dxfId="12" priority="33" operator="equal">
      <formula>0</formula>
    </cfRule>
  </conditionalFormatting>
  <conditionalFormatting sqref="M9">
    <cfRule type="cellIs" dxfId="11" priority="26" operator="equal">
      <formula>0</formula>
    </cfRule>
  </conditionalFormatting>
  <conditionalFormatting sqref="K3:K7">
    <cfRule type="cellIs" dxfId="10" priority="31" operator="equal">
      <formula>0</formula>
    </cfRule>
  </conditionalFormatting>
  <conditionalFormatting sqref="M3">
    <cfRule type="cellIs" dxfId="9" priority="30" operator="equal">
      <formula>0</formula>
    </cfRule>
  </conditionalFormatting>
  <conditionalFormatting sqref="M4:M7">
    <cfRule type="cellIs" dxfId="8" priority="29" operator="equal">
      <formula>0</formula>
    </cfRule>
  </conditionalFormatting>
  <conditionalFormatting sqref="K9">
    <cfRule type="cellIs" dxfId="7" priority="28" operator="equal">
      <formula>0</formula>
    </cfRule>
  </conditionalFormatting>
  <conditionalFormatting sqref="L9">
    <cfRule type="cellIs" dxfId="6" priority="27" operator="equal">
      <formula>0</formula>
    </cfRule>
  </conditionalFormatting>
  <conditionalFormatting sqref="K8">
    <cfRule type="cellIs" dxfId="5" priority="25" operator="equal">
      <formula>0</formula>
    </cfRule>
  </conditionalFormatting>
  <conditionalFormatting sqref="L8">
    <cfRule type="cellIs" dxfId="4" priority="24" operator="equal">
      <formula>0</formula>
    </cfRule>
  </conditionalFormatting>
  <conditionalFormatting sqref="M8">
    <cfRule type="cellIs" dxfId="3"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6" sqref="B16"/>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8" t="s">
        <v>266</v>
      </c>
    </row>
    <row r="10" spans="1:3" ht="52.8" x14ac:dyDescent="0.25">
      <c r="A10" s="229" t="s">
        <v>267</v>
      </c>
    </row>
    <row r="11" spans="1:3" ht="27" thickBot="1" x14ac:dyDescent="0.3">
      <c r="A11" s="227" t="s">
        <v>268</v>
      </c>
    </row>
    <row r="12" spans="1:3" x14ac:dyDescent="0.25">
      <c r="A12" s="226" t="s">
        <v>272</v>
      </c>
    </row>
    <row r="13" spans="1:3" ht="28.8" x14ac:dyDescent="0.25">
      <c r="A13" s="222" t="s">
        <v>269</v>
      </c>
    </row>
    <row r="14" spans="1:3" ht="26.4" x14ac:dyDescent="0.25">
      <c r="A14" s="221" t="s">
        <v>270</v>
      </c>
    </row>
    <row r="15" spans="1:3" ht="52.8" x14ac:dyDescent="0.25">
      <c r="A15" s="223" t="s">
        <v>274</v>
      </c>
    </row>
    <row r="16" spans="1:3" ht="52.8" x14ac:dyDescent="0.25">
      <c r="A16" s="224" t="s">
        <v>271</v>
      </c>
    </row>
    <row r="17" spans="1:1" ht="40.200000000000003" thickBot="1" x14ac:dyDescent="0.3">
      <c r="A17" s="225" t="s">
        <v>273</v>
      </c>
    </row>
  </sheetData>
  <conditionalFormatting sqref="A15">
    <cfRule type="expression" dxfId="73" priority="6">
      <formula>$B$2 = FALSE</formula>
    </cfRule>
  </conditionalFormatting>
  <conditionalFormatting sqref="A16">
    <cfRule type="containsText" dxfId="72" priority="4" operator="containsText" text="NA">
      <formula>NOT(ISERROR(SEARCH("NA",A16)))</formula>
    </cfRule>
    <cfRule type="containsText" dxfId="71" priority="5" operator="containsText" text="Inf">
      <formula>NOT(ISERROR(SEARCH("Inf",A16)))</formula>
    </cfRule>
  </conditionalFormatting>
  <conditionalFormatting sqref="A16">
    <cfRule type="cellIs" dxfId="70" priority="3" operator="equal">
      <formula>0</formula>
    </cfRule>
  </conditionalFormatting>
  <conditionalFormatting sqref="A17">
    <cfRule type="expression" dxfId="69" priority="1">
      <formula>$B$11&lt;&gt;"naive"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0" t="s">
        <v>0</v>
      </c>
      <c r="T2" s="240"/>
      <c r="U2" s="240"/>
      <c r="V2" s="240"/>
      <c r="W2" s="240" t="s">
        <v>1</v>
      </c>
      <c r="X2" s="240"/>
      <c r="Y2" s="240"/>
      <c r="Z2" s="240"/>
      <c r="AA2" s="240" t="s">
        <v>2</v>
      </c>
      <c r="AB2" s="240"/>
      <c r="AC2" s="240"/>
      <c r="AD2" s="240"/>
      <c r="AE2" s="240" t="s">
        <v>3</v>
      </c>
      <c r="AF2" s="240"/>
      <c r="AG2" s="240"/>
      <c r="AH2" s="240"/>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1" t="s">
        <v>54</v>
      </c>
      <c r="K17" s="244"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2"/>
      <c r="K18" s="245"/>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2"/>
      <c r="K19" s="245"/>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2"/>
      <c r="K20" s="245"/>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2"/>
      <c r="K21" s="245"/>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2"/>
      <c r="K22" s="245"/>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2"/>
      <c r="K23" s="245"/>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2"/>
      <c r="K24" s="245"/>
      <c r="V24" s="51" t="s">
        <v>63</v>
      </c>
      <c r="Z24" s="51" t="s">
        <v>63</v>
      </c>
      <c r="AD24" s="51" t="s">
        <v>63</v>
      </c>
      <c r="AH24" s="51" t="s">
        <v>63</v>
      </c>
    </row>
    <row r="25" spans="2:36" ht="15.6" x14ac:dyDescent="0.3">
      <c r="B25" s="58"/>
      <c r="C25" s="58"/>
      <c r="D25" s="19"/>
      <c r="E25" s="19"/>
      <c r="F25" s="19"/>
      <c r="G25" s="59"/>
      <c r="J25" s="242"/>
      <c r="K25" s="245"/>
    </row>
    <row r="26" spans="2:36" ht="17.399999999999999" x14ac:dyDescent="0.3">
      <c r="B26" s="58"/>
      <c r="C26" s="58"/>
      <c r="D26" s="19"/>
      <c r="E26" s="19"/>
      <c r="F26" s="19"/>
      <c r="G26" s="59"/>
      <c r="J26" s="242"/>
      <c r="K26" s="245"/>
      <c r="N26" s="247" t="s">
        <v>64</v>
      </c>
      <c r="O26" s="248"/>
      <c r="P26" s="248"/>
      <c r="Q26" s="249"/>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2"/>
      <c r="K27" s="245"/>
      <c r="N27" s="247" t="s">
        <v>66</v>
      </c>
      <c r="O27" s="248"/>
      <c r="P27" s="248"/>
      <c r="Q27" s="249"/>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2"/>
      <c r="K28" s="245"/>
      <c r="O28" s="27"/>
      <c r="P28" s="27"/>
      <c r="Q28" s="27"/>
    </row>
    <row r="29" spans="2:36" ht="15.6" x14ac:dyDescent="0.3">
      <c r="B29" s="58"/>
      <c r="C29" s="58"/>
      <c r="D29" s="19"/>
      <c r="E29" s="19"/>
      <c r="F29" s="19"/>
      <c r="G29" s="59"/>
      <c r="J29" s="242"/>
      <c r="K29" s="245"/>
    </row>
    <row r="30" spans="2:36" x14ac:dyDescent="0.3">
      <c r="J30" s="242"/>
      <c r="K30" s="245"/>
    </row>
    <row r="31" spans="2:36" x14ac:dyDescent="0.3">
      <c r="J31" s="242"/>
      <c r="K31" s="245"/>
    </row>
    <row r="32" spans="2:36" x14ac:dyDescent="0.3">
      <c r="J32" s="242"/>
      <c r="K32" s="245"/>
    </row>
    <row r="33" spans="10:26" ht="15" thickBot="1" x14ac:dyDescent="0.35">
      <c r="J33" s="243"/>
      <c r="K33" s="246"/>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68" priority="18" operator="equal">
      <formula>0</formula>
    </cfRule>
  </conditionalFormatting>
  <conditionalFormatting sqref="S17:AD23">
    <cfRule type="cellIs" dxfId="67" priority="19" operator="notBetween">
      <formula>0.0000000001</formula>
      <formula>-0.0000000001</formula>
    </cfRule>
    <cfRule type="cellIs" dxfId="66" priority="20" operator="between">
      <formula>0.0000000001</formula>
      <formula>-0.0000000001</formula>
    </cfRule>
  </conditionalFormatting>
  <conditionalFormatting sqref="S8:AB8 AD8">
    <cfRule type="cellIs" dxfId="65" priority="13" operator="equal">
      <formula>0</formula>
    </cfRule>
  </conditionalFormatting>
  <conditionalFormatting sqref="AC5:AC7 AC9:AC16">
    <cfRule type="cellIs" dxfId="64" priority="12" operator="equal">
      <formula>0</formula>
    </cfRule>
  </conditionalFormatting>
  <conditionalFormatting sqref="AC8">
    <cfRule type="cellIs" dxfId="63" priority="11" operator="equal">
      <formula>0</formula>
    </cfRule>
  </conditionalFormatting>
  <conditionalFormatting sqref="AG8">
    <cfRule type="cellIs" dxfId="62" priority="5" operator="equal">
      <formula>0</formula>
    </cfRule>
  </conditionalFormatting>
  <conditionalFormatting sqref="AE5:AF7 AE9:AF16 AH9:AI16 AH5:AJ5 AH6:AI7 AJ6:AJ16 AH4">
    <cfRule type="cellIs" dxfId="61" priority="8" operator="equal">
      <formula>0</formula>
    </cfRule>
  </conditionalFormatting>
  <conditionalFormatting sqref="AE17:AJ23">
    <cfRule type="cellIs" dxfId="60" priority="9" operator="notBetween">
      <formula>0.0000000001</formula>
      <formula>-0.0000000001</formula>
    </cfRule>
    <cfRule type="cellIs" dxfId="59" priority="10" operator="between">
      <formula>0.0000000001</formula>
      <formula>-0.0000000001</formula>
    </cfRule>
  </conditionalFormatting>
  <conditionalFormatting sqref="AE8:AF8 AH8:AI8">
    <cfRule type="cellIs" dxfId="58" priority="7" operator="equal">
      <formula>0</formula>
    </cfRule>
  </conditionalFormatting>
  <conditionalFormatting sqref="AG5:AG7 AG9:AG16">
    <cfRule type="cellIs" dxfId="57" priority="6" operator="equal">
      <formula>0</formula>
    </cfRule>
  </conditionalFormatting>
  <conditionalFormatting sqref="AD4 S4:AB4">
    <cfRule type="cellIs" dxfId="56" priority="4" operator="equal">
      <formula>0</formula>
    </cfRule>
  </conditionalFormatting>
  <conditionalFormatting sqref="AC4">
    <cfRule type="cellIs" dxfId="55" priority="3" operator="equal">
      <formula>0</formula>
    </cfRule>
  </conditionalFormatting>
  <conditionalFormatting sqref="AE4:AF4 AI4">
    <cfRule type="cellIs" dxfId="54" priority="2" operator="equal">
      <formula>0</formula>
    </cfRule>
  </conditionalFormatting>
  <conditionalFormatting sqref="AG4">
    <cfRule type="cellIs" dxfId="53"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50" t="s">
        <v>264</v>
      </c>
    </row>
    <row r="2" spans="1:7" ht="14.4" x14ac:dyDescent="0.25">
      <c r="A2" s="77" t="str">
        <f>Parameters!A2</f>
        <v>Variable HRT</v>
      </c>
      <c r="B2" s="99" t="b">
        <f>Parameters!B2</f>
        <v>1</v>
      </c>
      <c r="C2" s="250"/>
    </row>
    <row r="3" spans="1:7" ht="14.4" x14ac:dyDescent="0.25">
      <c r="A3" s="77" t="str">
        <f>Bacteria!A6</f>
        <v>Initialisation method</v>
      </c>
      <c r="B3" s="99" t="str">
        <f>Bacteria!B6</f>
        <v>granule</v>
      </c>
      <c r="C3" s="250"/>
    </row>
    <row r="4" spans="1:7" ht="14.4" x14ac:dyDescent="0.25">
      <c r="A4" s="77" t="str">
        <f>Bacteria!A12</f>
        <v>Inactivation enabled</v>
      </c>
      <c r="B4" s="99" t="b">
        <f>Bacteria!B12</f>
        <v>1</v>
      </c>
      <c r="C4" s="250"/>
    </row>
    <row r="5" spans="1:7" ht="14.4" x14ac:dyDescent="0.25">
      <c r="A5" s="77" t="str">
        <f>Bacteria!A13</f>
        <v>Detachment method</v>
      </c>
      <c r="B5" s="99" t="str">
        <f>Bacteria!B13</f>
        <v>mechanistic</v>
      </c>
      <c r="C5" s="250"/>
    </row>
    <row r="6" spans="1:7" ht="14.4" x14ac:dyDescent="0.25">
      <c r="A6" s="77" t="str">
        <f>Solver!A4</f>
        <v>pH bulk concentration corrected</v>
      </c>
      <c r="B6" s="99" t="b">
        <f>Solver!B4</f>
        <v>1</v>
      </c>
      <c r="C6" s="250"/>
    </row>
    <row r="7" spans="1:7" ht="14.4" x14ac:dyDescent="0.25">
      <c r="A7" s="77" t="str">
        <f>Solver!A2</f>
        <v>pH solving included</v>
      </c>
      <c r="B7" s="99" t="b">
        <f>Solver!B2</f>
        <v>1</v>
      </c>
      <c r="C7" s="250"/>
    </row>
    <row r="8" spans="1:7" ht="14.4" customHeight="1" x14ac:dyDescent="0.25">
      <c r="A8" s="77" t="str">
        <f>Solver!A5</f>
        <v>Speciation included</v>
      </c>
      <c r="B8" s="99" t="b">
        <f>Solver!B5</f>
        <v>1</v>
      </c>
      <c r="C8" s="250"/>
    </row>
    <row r="9" spans="1:7" ht="13.2" customHeight="1" x14ac:dyDescent="0.25">
      <c r="C9" s="219"/>
      <c r="G9" s="218"/>
    </row>
    <row r="10" spans="1:7" ht="13.2" customHeight="1" x14ac:dyDescent="0.25">
      <c r="C10" s="219"/>
      <c r="G10" s="218"/>
    </row>
    <row r="11" spans="1:7" ht="13.2" customHeight="1" x14ac:dyDescent="0.25">
      <c r="C11" s="219"/>
      <c r="G11" s="218"/>
    </row>
    <row r="12" spans="1:7" ht="13.2" customHeight="1" x14ac:dyDescent="0.25">
      <c r="C12" s="219"/>
      <c r="G12" s="218"/>
    </row>
    <row r="13" spans="1:7" ht="13.2" customHeight="1" x14ac:dyDescent="0.25">
      <c r="C13" s="219"/>
    </row>
    <row r="14" spans="1:7" ht="13.2" customHeight="1" x14ac:dyDescent="0.25">
      <c r="C14" s="219"/>
    </row>
    <row r="15" spans="1:7" ht="13.2" customHeight="1" x14ac:dyDescent="0.25">
      <c r="C15" s="219"/>
    </row>
  </sheetData>
  <mergeCells count="1">
    <mergeCell ref="C1: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6" sqref="D16"/>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182</v>
      </c>
      <c r="E1" s="69"/>
    </row>
    <row r="2" spans="1:5" ht="28.8" x14ac:dyDescent="0.3">
      <c r="A2" s="77" t="s">
        <v>176</v>
      </c>
      <c r="B2" s="122" t="b">
        <v>1</v>
      </c>
      <c r="C2" s="90" t="s">
        <v>97</v>
      </c>
      <c r="D2" s="110" t="s">
        <v>178</v>
      </c>
      <c r="E2" s="69"/>
    </row>
    <row r="3" spans="1:5" ht="14.4" x14ac:dyDescent="0.3">
      <c r="A3" s="77" t="s">
        <v>179</v>
      </c>
      <c r="B3" s="121">
        <f>20/(17*1000)</f>
        <v>1.176470588235294E-3</v>
      </c>
      <c r="C3" s="90" t="s">
        <v>87</v>
      </c>
      <c r="D3" s="110" t="s">
        <v>177</v>
      </c>
      <c r="E3" s="69"/>
    </row>
    <row r="4" spans="1:5" ht="43.2" x14ac:dyDescent="0.3">
      <c r="A4" s="108" t="s">
        <v>180</v>
      </c>
      <c r="B4" s="220" t="s">
        <v>74</v>
      </c>
      <c r="C4" s="126" t="s">
        <v>97</v>
      </c>
      <c r="D4" s="123" t="s">
        <v>265</v>
      </c>
      <c r="E4" s="69"/>
    </row>
    <row r="5" spans="1:5" ht="14.4" x14ac:dyDescent="0.3">
      <c r="A5" s="77" t="s">
        <v>39</v>
      </c>
      <c r="B5" s="101">
        <v>20</v>
      </c>
      <c r="C5" s="90" t="s">
        <v>17</v>
      </c>
      <c r="D5" s="110" t="s">
        <v>181</v>
      </c>
      <c r="E5" s="69"/>
    </row>
    <row r="6" spans="1:5" ht="14.4" x14ac:dyDescent="0.3">
      <c r="A6" s="77" t="s">
        <v>244</v>
      </c>
      <c r="B6" s="154">
        <f>B5+273.15</f>
        <v>293.14999999999998</v>
      </c>
      <c r="C6" s="90" t="s">
        <v>41</v>
      </c>
      <c r="D6" s="110" t="s">
        <v>243</v>
      </c>
      <c r="E6" s="69"/>
    </row>
    <row r="7" spans="1:5" ht="14.4" x14ac:dyDescent="0.3">
      <c r="A7" s="77" t="s">
        <v>175</v>
      </c>
      <c r="B7" s="155">
        <v>7.7</v>
      </c>
      <c r="C7" s="90" t="s">
        <v>97</v>
      </c>
      <c r="D7" s="110" t="s">
        <v>183</v>
      </c>
      <c r="E7" s="69"/>
    </row>
    <row r="8" spans="1:5" ht="28.8" x14ac:dyDescent="0.3">
      <c r="A8" s="77" t="s">
        <v>174</v>
      </c>
      <c r="B8" s="128">
        <f>(((Bacteria!B10/3)*Bacteria!B1)/3)/1000</f>
        <v>2.3271056693257722E-10</v>
      </c>
      <c r="C8" s="90" t="s">
        <v>98</v>
      </c>
      <c r="D8" s="110" t="s">
        <v>184</v>
      </c>
      <c r="E8" s="69"/>
    </row>
    <row r="9" spans="1:5" ht="14.4" x14ac:dyDescent="0.3">
      <c r="A9" s="77" t="s">
        <v>173</v>
      </c>
      <c r="B9" s="97">
        <f>8.3144/1000</f>
        <v>8.3143999999999996E-3</v>
      </c>
      <c r="C9" s="90" t="s">
        <v>245</v>
      </c>
      <c r="D9" s="110" t="s">
        <v>173</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52" priority="3">
      <formula>$B$2 = FALSE</formula>
    </cfRule>
  </conditionalFormatting>
  <conditionalFormatting sqref="A1:D1">
    <cfRule type="expression" dxfId="51"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185</v>
      </c>
      <c r="E1" s="251" t="s">
        <v>186</v>
      </c>
    </row>
    <row r="2" spans="1:5" ht="14.4" x14ac:dyDescent="0.3">
      <c r="A2" s="77" t="s">
        <v>75</v>
      </c>
      <c r="B2" s="121">
        <f>1.912*10^(-9)*3600*0.7</f>
        <v>4.8182400000000001E-6</v>
      </c>
      <c r="C2" s="90" t="s">
        <v>108</v>
      </c>
      <c r="D2" s="110" t="s">
        <v>185</v>
      </c>
      <c r="E2" s="251"/>
    </row>
    <row r="3" spans="1:5" ht="14.4" x14ac:dyDescent="0.3">
      <c r="A3" s="77" t="s">
        <v>80</v>
      </c>
      <c r="B3" s="121">
        <f>1.902*10^(-9)*3600*0.7</f>
        <v>4.7930399999999991E-6</v>
      </c>
      <c r="C3" s="90" t="s">
        <v>108</v>
      </c>
      <c r="D3" s="110" t="s">
        <v>185</v>
      </c>
      <c r="E3" s="251"/>
    </row>
    <row r="4" spans="1:5" ht="14.4" x14ac:dyDescent="0.3">
      <c r="A4" s="77" t="s">
        <v>81</v>
      </c>
      <c r="B4" s="121">
        <f>2.1*10^(-9)*3600*0.7</f>
        <v>5.2920000000000003E-6</v>
      </c>
      <c r="C4" s="90" t="s">
        <v>108</v>
      </c>
      <c r="D4" s="110" t="s">
        <v>185</v>
      </c>
      <c r="E4" s="251"/>
    </row>
    <row r="5" spans="1:5" ht="14.4" x14ac:dyDescent="0.3">
      <c r="A5" s="77" t="s">
        <v>82</v>
      </c>
      <c r="B5" s="121">
        <f>1.92*10^(-9)*3600*0.7</f>
        <v>4.8384000000000001E-6</v>
      </c>
      <c r="C5" s="90" t="s">
        <v>108</v>
      </c>
      <c r="D5" s="110" t="s">
        <v>185</v>
      </c>
      <c r="E5" s="251"/>
    </row>
    <row r="6" spans="1:5" ht="14.4" x14ac:dyDescent="0.3">
      <c r="A6" s="77" t="s">
        <v>83</v>
      </c>
      <c r="B6" s="121">
        <f>1.385*10^(-9)*3600*0.7</f>
        <v>3.4902000000000001E-6</v>
      </c>
      <c r="C6" s="90" t="s">
        <v>108</v>
      </c>
      <c r="D6" s="110" t="s">
        <v>185</v>
      </c>
      <c r="E6" s="251"/>
    </row>
    <row r="7" spans="1:5" ht="15" thickBot="1" x14ac:dyDescent="0.35">
      <c r="A7" s="89" t="s">
        <v>84</v>
      </c>
      <c r="B7" s="129">
        <f>1.334*10^(-9)*3600*0.7</f>
        <v>3.3616800000000002E-6</v>
      </c>
      <c r="C7" s="92" t="s">
        <v>108</v>
      </c>
      <c r="D7" s="111" t="s">
        <v>185</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8" sqref="B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188</v>
      </c>
      <c r="B1" s="98">
        <f>((4/3)*PI()*B3^3)*B4</f>
        <v>2.0943951023931951E-12</v>
      </c>
      <c r="C1" s="90" t="s">
        <v>16</v>
      </c>
      <c r="D1" s="130" t="s">
        <v>196</v>
      </c>
    </row>
    <row r="2" spans="1:4" ht="14.4" x14ac:dyDescent="0.25">
      <c r="A2" s="77" t="s">
        <v>189</v>
      </c>
      <c r="B2" s="98">
        <f>0.1*B1</f>
        <v>2.0943951023931951E-13</v>
      </c>
      <c r="C2" s="90" t="s">
        <v>16</v>
      </c>
      <c r="D2" s="130" t="s">
        <v>197</v>
      </c>
    </row>
    <row r="3" spans="1:4" ht="14.4" x14ac:dyDescent="0.25">
      <c r="A3" s="77" t="s">
        <v>190</v>
      </c>
      <c r="B3" s="131">
        <f>(1)*10^(-6)</f>
        <v>9.9999999999999995E-7</v>
      </c>
      <c r="C3" s="90" t="s">
        <v>94</v>
      </c>
      <c r="D3" s="130" t="s">
        <v>198</v>
      </c>
    </row>
    <row r="4" spans="1:4" ht="14.4" x14ac:dyDescent="0.25">
      <c r="A4" s="77" t="s">
        <v>191</v>
      </c>
      <c r="B4" s="131">
        <f>500*1000</f>
        <v>500000</v>
      </c>
      <c r="C4" s="90" t="s">
        <v>95</v>
      </c>
      <c r="D4" s="130" t="s">
        <v>199</v>
      </c>
    </row>
    <row r="5" spans="1:4" ht="14.4" x14ac:dyDescent="0.25">
      <c r="A5" s="77" t="s">
        <v>192</v>
      </c>
      <c r="B5" s="138">
        <v>24.6</v>
      </c>
      <c r="C5" s="90" t="s">
        <v>96</v>
      </c>
      <c r="D5" s="130" t="s">
        <v>200</v>
      </c>
    </row>
    <row r="6" spans="1:4" ht="14.4" x14ac:dyDescent="0.25">
      <c r="A6" s="139" t="s">
        <v>221</v>
      </c>
      <c r="B6" s="143" t="s">
        <v>222</v>
      </c>
      <c r="C6" s="141" t="s">
        <v>97</v>
      </c>
      <c r="D6" s="142" t="s">
        <v>280</v>
      </c>
    </row>
    <row r="7" spans="1:4" ht="14.4" x14ac:dyDescent="0.25">
      <c r="A7" s="77" t="s">
        <v>194</v>
      </c>
      <c r="B7" s="131">
        <f>75*10^(-6)</f>
        <v>7.4999999999999993E-5</v>
      </c>
      <c r="C7" s="90" t="s">
        <v>94</v>
      </c>
      <c r="D7" s="130" t="s">
        <v>202</v>
      </c>
    </row>
    <row r="8" spans="1:4" ht="28.8" x14ac:dyDescent="0.25">
      <c r="A8" s="77" t="s">
        <v>276</v>
      </c>
      <c r="B8" s="231">
        <f>_xlfn.CEILING.MATH(B7^2 / (0.8*B3 * B11)^2 * 0.75)</f>
        <v>2930</v>
      </c>
      <c r="C8" s="90" t="s">
        <v>97</v>
      </c>
      <c r="D8" s="130" t="s">
        <v>278</v>
      </c>
    </row>
    <row r="9" spans="1:4" ht="14.4" x14ac:dyDescent="0.25">
      <c r="A9" s="108" t="s">
        <v>277</v>
      </c>
      <c r="B9" s="230">
        <v>500</v>
      </c>
      <c r="C9" s="126" t="s">
        <v>97</v>
      </c>
      <c r="D9" s="137" t="s">
        <v>275</v>
      </c>
    </row>
    <row r="10" spans="1:4" ht="14.4" x14ac:dyDescent="0.25">
      <c r="A10" s="77" t="s">
        <v>195</v>
      </c>
      <c r="B10" s="131">
        <f>4*ROUND(((B15/2)^2)/((B3)^2),0)</f>
        <v>1000000</v>
      </c>
      <c r="C10" s="90" t="s">
        <v>97</v>
      </c>
      <c r="D10" s="130" t="s">
        <v>203</v>
      </c>
    </row>
    <row r="11" spans="1:4" ht="28.8" x14ac:dyDescent="0.25">
      <c r="A11" s="77" t="s">
        <v>118</v>
      </c>
      <c r="B11" s="132">
        <v>1.5</v>
      </c>
      <c r="C11" s="90" t="s">
        <v>97</v>
      </c>
      <c r="D11" s="130" t="s">
        <v>204</v>
      </c>
    </row>
    <row r="12" spans="1:4" ht="28.8" x14ac:dyDescent="0.25">
      <c r="A12" s="77" t="s">
        <v>205</v>
      </c>
      <c r="B12" s="138" t="b">
        <v>1</v>
      </c>
      <c r="C12" s="90" t="s">
        <v>97</v>
      </c>
      <c r="D12" s="130" t="s">
        <v>206</v>
      </c>
    </row>
    <row r="13" spans="1:4" ht="14.4" x14ac:dyDescent="0.25">
      <c r="A13" s="139" t="s">
        <v>207</v>
      </c>
      <c r="B13" s="140" t="s">
        <v>281</v>
      </c>
      <c r="C13" s="141" t="s">
        <v>97</v>
      </c>
      <c r="D13" s="142" t="s">
        <v>210</v>
      </c>
    </row>
    <row r="14" spans="1:4" ht="14.4" x14ac:dyDescent="0.25">
      <c r="A14" s="77" t="s">
        <v>208</v>
      </c>
      <c r="B14" s="132">
        <v>25</v>
      </c>
      <c r="C14" s="90" t="s">
        <v>209</v>
      </c>
      <c r="D14" s="130" t="s">
        <v>211</v>
      </c>
    </row>
    <row r="15" spans="1:4" ht="28.8" x14ac:dyDescent="0.25">
      <c r="A15" s="108" t="s">
        <v>193</v>
      </c>
      <c r="B15" s="136">
        <f>1000*10^(-6)</f>
        <v>1E-3</v>
      </c>
      <c r="C15" s="126" t="s">
        <v>94</v>
      </c>
      <c r="D15" s="137" t="s">
        <v>201</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50" priority="4">
      <formula>$B$13&lt;&gt;"mechanistic"</formula>
    </cfRule>
  </conditionalFormatting>
  <conditionalFormatting sqref="A15:D15">
    <cfRule type="expression" dxfId="49" priority="3">
      <formula>$B$13&lt;&gt;"naive"</formula>
    </cfRule>
  </conditionalFormatting>
  <conditionalFormatting sqref="A9:D9">
    <cfRule type="expression" dxfId="48" priority="1">
      <formula>$B$6 = "granule"</formula>
    </cfRule>
  </conditionalFormatting>
  <conditionalFormatting sqref="A7:D8">
    <cfRule type="expression" dxfId="47"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10" sqref="B10"/>
    </sheetView>
  </sheetViews>
  <sheetFormatPr defaultColWidth="11.44140625" defaultRowHeight="13.2" x14ac:dyDescent="0.25"/>
  <cols>
    <col min="1" max="1" width="31.33203125" bestFit="1" customWidth="1"/>
    <col min="4" max="4" width="73.6640625" customWidth="1"/>
  </cols>
  <sheetData>
    <row r="1" spans="1:4" ht="14.4" x14ac:dyDescent="0.25">
      <c r="A1" s="77" t="s">
        <v>219</v>
      </c>
      <c r="B1" s="131">
        <v>9.9999999999999995E-7</v>
      </c>
      <c r="C1" s="90" t="s">
        <v>87</v>
      </c>
      <c r="D1" s="130" t="s">
        <v>220</v>
      </c>
    </row>
    <row r="2" spans="1:4" ht="14.4" x14ac:dyDescent="0.25">
      <c r="A2" s="77" t="s">
        <v>223</v>
      </c>
      <c r="B2" s="132" t="b">
        <v>1</v>
      </c>
      <c r="C2" s="90" t="s">
        <v>97</v>
      </c>
      <c r="D2" s="130" t="s">
        <v>225</v>
      </c>
    </row>
    <row r="3" spans="1:4" ht="14.4" x14ac:dyDescent="0.25">
      <c r="A3" s="77" t="s">
        <v>187</v>
      </c>
      <c r="B3" s="131">
        <v>1.0000000000000001E-15</v>
      </c>
      <c r="C3" s="90" t="s">
        <v>97</v>
      </c>
      <c r="D3" s="130" t="s">
        <v>224</v>
      </c>
    </row>
    <row r="4" spans="1:4" ht="14.4" x14ac:dyDescent="0.25">
      <c r="A4" s="77" t="s">
        <v>257</v>
      </c>
      <c r="B4" s="132" t="b">
        <v>1</v>
      </c>
      <c r="C4" s="90" t="s">
        <v>97</v>
      </c>
      <c r="D4" s="130" t="s">
        <v>258</v>
      </c>
    </row>
    <row r="5" spans="1:4" ht="28.8" x14ac:dyDescent="0.25">
      <c r="A5" s="77" t="s">
        <v>226</v>
      </c>
      <c r="B5" s="132" t="b">
        <v>1</v>
      </c>
      <c r="C5" s="90" t="s">
        <v>97</v>
      </c>
      <c r="D5" s="130" t="s">
        <v>263</v>
      </c>
    </row>
    <row r="6" spans="1:4" ht="28.8" x14ac:dyDescent="0.25">
      <c r="A6" s="77" t="s">
        <v>227</v>
      </c>
      <c r="B6" s="131">
        <v>1E-8</v>
      </c>
      <c r="C6" s="90" t="s">
        <v>97</v>
      </c>
      <c r="D6" s="130" t="s">
        <v>228</v>
      </c>
    </row>
    <row r="7" spans="1:4" ht="28.8" x14ac:dyDescent="0.25">
      <c r="A7" s="77" t="s">
        <v>212</v>
      </c>
      <c r="B7" s="135">
        <v>5.0000000000000001E-3</v>
      </c>
      <c r="C7" s="90" t="s">
        <v>109</v>
      </c>
      <c r="D7" s="130" t="s">
        <v>218</v>
      </c>
    </row>
    <row r="8" spans="1:4" ht="14.4" x14ac:dyDescent="0.25">
      <c r="A8" s="77" t="s">
        <v>213</v>
      </c>
      <c r="B8" s="132" t="s">
        <v>214</v>
      </c>
      <c r="C8" s="90" t="s">
        <v>97</v>
      </c>
      <c r="D8" s="130" t="s">
        <v>217</v>
      </c>
    </row>
    <row r="9" spans="1:4" ht="14.4" x14ac:dyDescent="0.25">
      <c r="A9" s="77" t="s">
        <v>215</v>
      </c>
      <c r="B9" s="132">
        <v>2</v>
      </c>
      <c r="C9" s="90" t="s">
        <v>97</v>
      </c>
      <c r="D9" s="130" t="s">
        <v>216</v>
      </c>
    </row>
    <row r="10" spans="1:4" ht="28.8" x14ac:dyDescent="0.25">
      <c r="A10" s="108" t="s">
        <v>229</v>
      </c>
      <c r="B10" s="230" t="b">
        <v>0</v>
      </c>
      <c r="C10" s="232" t="s">
        <v>97</v>
      </c>
      <c r="D10" s="233" t="s">
        <v>230</v>
      </c>
    </row>
    <row r="11" spans="1:4" ht="14.4" x14ac:dyDescent="0.25">
      <c r="A11" s="77" t="s">
        <v>260</v>
      </c>
      <c r="B11" s="132" t="b">
        <v>0</v>
      </c>
      <c r="C11" s="127" t="s">
        <v>97</v>
      </c>
      <c r="D11" s="144" t="s">
        <v>261</v>
      </c>
    </row>
    <row r="12" spans="1:4" ht="28.8" x14ac:dyDescent="0.25">
      <c r="A12" s="77" t="s">
        <v>259</v>
      </c>
      <c r="B12" s="132" t="s">
        <v>113</v>
      </c>
      <c r="C12" s="127" t="s">
        <v>97</v>
      </c>
      <c r="D12" s="144" t="s">
        <v>262</v>
      </c>
    </row>
  </sheetData>
  <conditionalFormatting sqref="A3:D4">
    <cfRule type="expression" dxfId="46" priority="2">
      <formula>$B$2=FALSE</formula>
    </cfRule>
  </conditionalFormatting>
  <conditionalFormatting sqref="A12:D12">
    <cfRule type="expression" dxfId="45"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tabSelected="1" workbookViewId="0">
      <selection activeCell="B1" sqref="B1:B4"/>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1E-10</v>
      </c>
      <c r="C1" s="90" t="s">
        <v>87</v>
      </c>
      <c r="D1" s="253" t="s">
        <v>231</v>
      </c>
      <c r="E1" s="69"/>
      <c r="F1" s="69"/>
      <c r="G1" s="69"/>
    </row>
    <row r="2" spans="1:10" ht="15" customHeight="1" x14ac:dyDescent="0.25">
      <c r="A2" s="77" t="s">
        <v>75</v>
      </c>
      <c r="B2" s="131">
        <v>1E-10</v>
      </c>
      <c r="C2" s="90" t="s">
        <v>87</v>
      </c>
      <c r="D2" s="253"/>
      <c r="E2" s="69"/>
      <c r="F2" s="69"/>
      <c r="G2" s="69"/>
    </row>
    <row r="3" spans="1:10" ht="15" customHeight="1" x14ac:dyDescent="0.25">
      <c r="A3" s="77" t="s">
        <v>80</v>
      </c>
      <c r="B3" s="131">
        <v>1E-10</v>
      </c>
      <c r="C3" s="90" t="s">
        <v>87</v>
      </c>
      <c r="D3" s="253"/>
      <c r="E3" s="69"/>
      <c r="F3" s="69"/>
      <c r="G3" s="69"/>
    </row>
    <row r="4" spans="1:10" ht="15" customHeight="1" x14ac:dyDescent="0.25">
      <c r="A4" s="77" t="s">
        <v>81</v>
      </c>
      <c r="B4" s="131">
        <v>1E-10</v>
      </c>
      <c r="C4" s="90" t="s">
        <v>87</v>
      </c>
      <c r="D4" s="253"/>
      <c r="E4" s="69"/>
      <c r="F4" s="69"/>
      <c r="G4" s="69"/>
    </row>
    <row r="5" spans="1:10" ht="15" customHeight="1" x14ac:dyDescent="0.25">
      <c r="A5" s="77" t="s">
        <v>82</v>
      </c>
      <c r="B5" s="131">
        <f>Influent!B5</f>
        <v>1E-3</v>
      </c>
      <c r="C5" s="90" t="s">
        <v>87</v>
      </c>
      <c r="D5" s="253"/>
      <c r="E5" s="69"/>
      <c r="F5" s="69"/>
      <c r="G5" s="69"/>
    </row>
    <row r="6" spans="1:10" ht="15" customHeight="1" x14ac:dyDescent="0.25">
      <c r="A6" s="108" t="s">
        <v>83</v>
      </c>
      <c r="B6" s="136">
        <f>B1/2</f>
        <v>5.0000000000000002E-11</v>
      </c>
      <c r="C6" s="126" t="s">
        <v>87</v>
      </c>
      <c r="D6" s="253"/>
      <c r="E6" s="69"/>
      <c r="F6" s="69"/>
      <c r="G6" s="69"/>
    </row>
    <row r="7" spans="1:10" ht="15" customHeight="1" x14ac:dyDescent="0.25">
      <c r="A7" s="151" t="s">
        <v>84</v>
      </c>
      <c r="B7" s="152">
        <f>B5</f>
        <v>1E-3</v>
      </c>
      <c r="C7" s="153" t="s">
        <v>87</v>
      </c>
      <c r="D7" s="253"/>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Discretization</vt:lpstr>
      <vt:lpstr>Information</vt:lpstr>
      <vt:lpstr>Reactions</vt:lpstr>
      <vt:lpstr>Settings</vt:lpstr>
      <vt:lpstr>Parameters</vt:lpstr>
      <vt:lpstr>Diffusion</vt:lpstr>
      <vt:lpstr>Bacteria</vt:lpstr>
      <vt:lpstr>Solver</vt:lpstr>
      <vt:lpstr>Initial condition</vt:lpstr>
      <vt:lpstr>Influent</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2021-12-07T12:42:24Z</dcterms:modified>
  <cp:category/>
  <cp:contentStatus/>
</cp:coreProperties>
</file>