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24226"/>
  <mc:AlternateContent xmlns:mc="http://schemas.openxmlformats.org/markup-compatibility/2006">
    <mc:Choice Requires="x15">
      <x15ac:absPath xmlns:x15ac="http://schemas.microsoft.com/office/spreadsheetml/2010/11/ac" url="D:\Google Drive\Uni\Master Thesis\version_GitHub\planning\Excels\Templates\"/>
    </mc:Choice>
  </mc:AlternateContent>
  <xr:revisionPtr revIDLastSave="0" documentId="13_ncr:1_{B650E1E2-113F-4D6D-B276-FA92246C547F}" xr6:coauthVersionLast="47" xr6:coauthVersionMax="47" xr10:uidLastSave="{00000000-0000-0000-0000-000000000000}"/>
  <bookViews>
    <workbookView xWindow="-120" yWindow="-16320" windowWidth="29040" windowHeight="15840" tabRatio="808" activeTab="6" xr2:uid="{00000000-000D-0000-FFFF-FFFF00000000}"/>
  </bookViews>
  <sheets>
    <sheet name="Information" sheetId="30" r:id="rId1"/>
    <sheet name="Reactions" sheetId="18" state="hidden" r:id="rId2"/>
    <sheet name="Settings" sheetId="34" r:id="rId3"/>
    <sheet name="Discretization" sheetId="27" r:id="rId4"/>
    <sheet name="Parameters" sheetId="26" r:id="rId5"/>
    <sheet name="Diffusion" sheetId="28" r:id="rId6"/>
    <sheet name="Bacteria" sheetId="25" r:id="rId7"/>
    <sheet name="Solver" sheetId="29" r:id="rId8"/>
    <sheet name="Influent" sheetId="23" r:id="rId9"/>
    <sheet name="Initial condition" sheetId="22" r:id="rId10"/>
    <sheet name="ThermoParam" sheetId="24" r:id="rId11"/>
    <sheet name="Ks" sheetId="31" r:id="rId12"/>
    <sheet name="Ki" sheetId="32" r:id="rId13"/>
    <sheet name="Yield" sheetId="33" r:id="rId14"/>
    <sheet name="ReactionMatrix" sheetId="21"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 i="25" l="1"/>
  <c r="B8" i="25" s="1"/>
  <c r="B1" i="25"/>
  <c r="B6" i="34"/>
  <c r="A6" i="34"/>
  <c r="B3" i="34"/>
  <c r="B4" i="34"/>
  <c r="B5" i="34"/>
  <c r="B7" i="34"/>
  <c r="B8" i="34"/>
  <c r="A8" i="34"/>
  <c r="A7" i="34"/>
  <c r="A5" i="34"/>
  <c r="A4" i="34"/>
  <c r="A3" i="34"/>
  <c r="B2" i="34"/>
  <c r="A2" i="34"/>
  <c r="B1" i="34"/>
  <c r="A1" i="34"/>
  <c r="D3" i="33"/>
  <c r="D4" i="33"/>
  <c r="D5" i="33"/>
  <c r="D6" i="33"/>
  <c r="D7" i="33"/>
  <c r="D2" i="33"/>
  <c r="E2" i="31"/>
  <c r="E3" i="31"/>
  <c r="E4" i="31"/>
  <c r="E6" i="31"/>
  <c r="E7" i="31"/>
  <c r="B17" i="24"/>
  <c r="D18" i="24"/>
  <c r="B13" i="24"/>
  <c r="B6" i="24"/>
  <c r="B14" i="24"/>
  <c r="B15" i="24"/>
  <c r="B16" i="24"/>
  <c r="B18" i="24"/>
  <c r="B19" i="24"/>
  <c r="B20" i="24"/>
  <c r="B21" i="24"/>
  <c r="B22" i="24"/>
  <c r="C14" i="24"/>
  <c r="D14" i="24"/>
  <c r="E14" i="24"/>
  <c r="C15" i="24"/>
  <c r="D15" i="24"/>
  <c r="E15" i="24"/>
  <c r="C16" i="24"/>
  <c r="D16" i="24"/>
  <c r="E16" i="24"/>
  <c r="C17" i="24"/>
  <c r="D17" i="24"/>
  <c r="E17" i="24"/>
  <c r="E18" i="24"/>
  <c r="C19" i="24"/>
  <c r="D19" i="24"/>
  <c r="E19" i="24"/>
  <c r="C20" i="24"/>
  <c r="D20" i="24"/>
  <c r="E20" i="24"/>
  <c r="C21" i="24"/>
  <c r="D21" i="24"/>
  <c r="E21" i="24"/>
  <c r="C22" i="24"/>
  <c r="D22" i="24"/>
  <c r="E22" i="24"/>
  <c r="C13" i="24"/>
  <c r="D13" i="24"/>
  <c r="E13" i="24"/>
  <c r="B9" i="26"/>
  <c r="B6" i="26"/>
  <c r="D7" i="24"/>
  <c r="E7" i="24"/>
  <c r="B3" i="26"/>
  <c r="B4" i="27"/>
  <c r="B3" i="27"/>
  <c r="B5" i="33" l="1"/>
  <c r="B2" i="33"/>
  <c r="D5" i="32"/>
  <c r="B14" i="27"/>
  <c r="B7" i="28"/>
  <c r="B6" i="28"/>
  <c r="B5" i="28"/>
  <c r="B4" i="28"/>
  <c r="B3" i="28"/>
  <c r="B2" i="28"/>
  <c r="B1" i="28"/>
  <c r="B19" i="27" l="1"/>
  <c r="B17" i="27"/>
  <c r="B11" i="27"/>
  <c r="B8" i="27"/>
  <c r="B15" i="25"/>
  <c r="B4" i="25"/>
  <c r="B3" i="25"/>
  <c r="B10" i="25" l="1"/>
  <c r="B2" i="25"/>
  <c r="B8" i="26" l="1"/>
  <c r="AG17" i="18"/>
  <c r="AF23" i="18"/>
  <c r="AF22" i="18"/>
  <c r="AF21" i="18"/>
  <c r="AF20" i="18"/>
  <c r="AF19" i="18"/>
  <c r="AF18" i="18"/>
  <c r="AF17" i="18"/>
  <c r="AD6" i="18"/>
  <c r="AH4" i="18"/>
  <c r="S17" i="18"/>
  <c r="B7" i="23" l="1"/>
  <c r="B6" i="22" l="1"/>
  <c r="B6" i="23"/>
  <c r="AI13" i="18" l="1"/>
  <c r="V5" i="18" l="1"/>
  <c r="X38" i="18" l="1"/>
  <c r="W38" i="18"/>
  <c r="V38" i="18"/>
  <c r="X37" i="18"/>
  <c r="W37" i="18"/>
  <c r="V37" i="18"/>
  <c r="X36" i="18"/>
  <c r="W36" i="18"/>
  <c r="V36" i="18"/>
  <c r="X35" i="18"/>
  <c r="W35" i="18"/>
  <c r="V35" i="18"/>
  <c r="AH6" i="18" l="1"/>
  <c r="AH7" i="18"/>
  <c r="AH8" i="18"/>
  <c r="AI8" i="18" s="1"/>
  <c r="AH9" i="18"/>
  <c r="AH10" i="18"/>
  <c r="AH11" i="18"/>
  <c r="AI11" i="18" s="1"/>
  <c r="AH12" i="18"/>
  <c r="AI12" i="18" s="1"/>
  <c r="AH13" i="18"/>
  <c r="AH14" i="18"/>
  <c r="AH15" i="18"/>
  <c r="AH16" i="18"/>
  <c r="AH5" i="18"/>
  <c r="AG26" i="18"/>
  <c r="AG27" i="18" s="1"/>
  <c r="AF26" i="18"/>
  <c r="AF27" i="18" s="1"/>
  <c r="AG23" i="18"/>
  <c r="AG22" i="18"/>
  <c r="AG21" i="18"/>
  <c r="AG20" i="18"/>
  <c r="AG19" i="18"/>
  <c r="AG18" i="18"/>
  <c r="AI23" i="18" l="1"/>
  <c r="AI22" i="18"/>
  <c r="AI21" i="18"/>
  <c r="AI20" i="18"/>
  <c r="AI19" i="18"/>
  <c r="AI18" i="18"/>
  <c r="AI17" i="18"/>
  <c r="AH21" i="18"/>
  <c r="AH20" i="18"/>
  <c r="AH22" i="18"/>
  <c r="AH19" i="18"/>
  <c r="AH18" i="18"/>
  <c r="AH17" i="18"/>
  <c r="AH23" i="18"/>
  <c r="AH26" i="18"/>
  <c r="AH27" i="18" s="1"/>
  <c r="D8" i="18" s="1"/>
  <c r="E17" i="18" l="1"/>
  <c r="E18" i="18"/>
  <c r="E19" i="18"/>
  <c r="AA8" i="18" l="1"/>
  <c r="Z8" i="18"/>
  <c r="V8" i="18"/>
  <c r="V9" i="18"/>
  <c r="Z9" i="18"/>
  <c r="AA9" i="18"/>
  <c r="AE9" i="18" s="1"/>
  <c r="AD9" i="18"/>
  <c r="AA5" i="18"/>
  <c r="AA6" i="18"/>
  <c r="AE6" i="18" s="1"/>
  <c r="AA7" i="18"/>
  <c r="AA13" i="18"/>
  <c r="AA15" i="18"/>
  <c r="AE15" i="18" s="1"/>
  <c r="AA16" i="18"/>
  <c r="AE16" i="18" s="1"/>
  <c r="Z5" i="18"/>
  <c r="Z6" i="18"/>
  <c r="Z7" i="18"/>
  <c r="Z13" i="18"/>
  <c r="Z14" i="18"/>
  <c r="Z15" i="18"/>
  <c r="AB26" i="18"/>
  <c r="AB27" i="18" s="1"/>
  <c r="Y26" i="18"/>
  <c r="Y27" i="18" s="1"/>
  <c r="W26" i="18"/>
  <c r="W27" i="18" s="1"/>
  <c r="C6" i="18" s="1"/>
  <c r="C18" i="18" s="1"/>
  <c r="C19" i="18" s="1"/>
  <c r="U26" i="18"/>
  <c r="U27" i="18" s="1"/>
  <c r="T26" i="18"/>
  <c r="T27" i="18" s="1"/>
  <c r="S26" i="18"/>
  <c r="S27" i="18" s="1"/>
  <c r="C5" i="18" s="1"/>
  <c r="AB23" i="18"/>
  <c r="Y23" i="18"/>
  <c r="X23" i="18"/>
  <c r="W23" i="18"/>
  <c r="U23" i="18"/>
  <c r="T23" i="18"/>
  <c r="S23" i="18"/>
  <c r="AB22" i="18"/>
  <c r="Y22" i="18"/>
  <c r="W22" i="18"/>
  <c r="U22" i="18"/>
  <c r="T22" i="18"/>
  <c r="S22" i="18"/>
  <c r="AB21" i="18"/>
  <c r="Y21" i="18"/>
  <c r="W21" i="18"/>
  <c r="U21" i="18"/>
  <c r="T21" i="18"/>
  <c r="S21" i="18"/>
  <c r="AB20" i="18"/>
  <c r="Y20" i="18"/>
  <c r="W20" i="18"/>
  <c r="U20" i="18"/>
  <c r="T20" i="18"/>
  <c r="S20" i="18"/>
  <c r="AB19" i="18"/>
  <c r="Y19" i="18"/>
  <c r="X19" i="18"/>
  <c r="W19" i="18"/>
  <c r="U19" i="18"/>
  <c r="T19" i="18"/>
  <c r="S19" i="18"/>
  <c r="AB18" i="18"/>
  <c r="Y18" i="18"/>
  <c r="W18" i="18"/>
  <c r="U18" i="18"/>
  <c r="T18" i="18"/>
  <c r="S18" i="18"/>
  <c r="AB17" i="18"/>
  <c r="Y17" i="18"/>
  <c r="W17" i="18"/>
  <c r="U17" i="18"/>
  <c r="T17" i="18"/>
  <c r="Z16" i="18"/>
  <c r="V16" i="18"/>
  <c r="V15" i="18"/>
  <c r="V14" i="18"/>
  <c r="V13" i="18"/>
  <c r="V7" i="18"/>
  <c r="V6" i="18"/>
  <c r="AD16" i="18"/>
  <c r="X20" i="18"/>
  <c r="X17" i="18"/>
  <c r="X21" i="18"/>
  <c r="X26" i="18"/>
  <c r="X27" i="18" s="1"/>
  <c r="X18" i="18"/>
  <c r="X22" i="18"/>
  <c r="AE18" i="18" l="1"/>
  <c r="AE17" i="18"/>
  <c r="AE23" i="18"/>
  <c r="AE22" i="18"/>
  <c r="AE21" i="18"/>
  <c r="AE20" i="18"/>
  <c r="AE19" i="18"/>
  <c r="AA17" i="18"/>
  <c r="AA20" i="18"/>
  <c r="AA19" i="18"/>
  <c r="AA22" i="18"/>
  <c r="AE26" i="18"/>
  <c r="AE27" i="18" s="1"/>
  <c r="C8" i="18" s="1"/>
  <c r="AA23" i="18"/>
  <c r="AA18" i="18"/>
  <c r="AA26" i="18"/>
  <c r="AA27" i="18" s="1"/>
  <c r="C7" i="18" s="1"/>
  <c r="AA21" i="18"/>
  <c r="AD5" i="18"/>
  <c r="AC22" i="18"/>
  <c r="AC18" i="18"/>
  <c r="V26" i="18"/>
  <c r="V27" i="18" s="1"/>
  <c r="D5" i="18" s="1"/>
  <c r="AC26" i="18"/>
  <c r="AC27" i="18" s="1"/>
  <c r="V23" i="18"/>
  <c r="V19" i="18"/>
  <c r="AC20" i="18"/>
  <c r="AD14" i="18"/>
  <c r="AD7" i="18"/>
  <c r="AD15" i="18"/>
  <c r="AD8" i="18"/>
  <c r="V21" i="18"/>
  <c r="V22" i="18"/>
  <c r="V20" i="18"/>
  <c r="V17" i="18"/>
  <c r="V18" i="18"/>
  <c r="AC17" i="18"/>
  <c r="AD13" i="18"/>
  <c r="AC19" i="18"/>
  <c r="AC21" i="18"/>
  <c r="AC23" i="18"/>
  <c r="Z17" i="18"/>
  <c r="Z19" i="18"/>
  <c r="Z26" i="18"/>
  <c r="Z27" i="18" s="1"/>
  <c r="D6" i="18" s="1"/>
  <c r="Z21" i="18"/>
  <c r="Z23" i="18"/>
  <c r="Z22" i="18"/>
  <c r="Z18" i="18"/>
  <c r="Z20" i="18"/>
  <c r="F8" i="18" l="1"/>
  <c r="G8" i="18" s="1"/>
  <c r="F5" i="18"/>
  <c r="G5" i="18" s="1"/>
  <c r="D17" i="18"/>
  <c r="F17" i="18" s="1"/>
  <c r="G17" i="18" s="1"/>
  <c r="F6" i="18"/>
  <c r="G6" i="18" s="1"/>
  <c r="D18" i="18"/>
  <c r="F18" i="18" s="1"/>
  <c r="G18" i="18" s="1"/>
  <c r="AD22" i="18"/>
  <c r="AD26" i="18"/>
  <c r="AD27" i="18" s="1"/>
  <c r="D7" i="18" s="1"/>
  <c r="AD20" i="18"/>
  <c r="AD23" i="18"/>
  <c r="AD19" i="18"/>
  <c r="AD18" i="18"/>
  <c r="AD21" i="18"/>
  <c r="AD17" i="18"/>
  <c r="D19" i="18" l="1"/>
  <c r="F19" i="18" s="1"/>
  <c r="G19" i="18" s="1"/>
  <c r="F7" i="18"/>
  <c r="G7"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Chiel</author>
  </authors>
  <commentList>
    <comment ref="B12" authorId="0" shapeId="0" xr:uid="{61A8F149-C15A-4E85-ADA2-378708A2716A}">
      <text>
        <r>
          <rPr>
            <b/>
            <sz val="9"/>
            <color indexed="81"/>
            <rFont val="Tahoma"/>
            <family val="2"/>
          </rPr>
          <t>Chiel:</t>
        </r>
        <r>
          <rPr>
            <sz val="9"/>
            <color indexed="81"/>
            <rFont val="Tahoma"/>
            <family val="2"/>
          </rPr>
          <t xml:space="preserve">
Equilibrium ratio of CO2(aq)/H2CO3. In literature often given as H2CO3/CO2(aq)</t>
        </r>
      </text>
    </comment>
    <comment ref="B17" authorId="0" shapeId="0" xr:uid="{0011C65B-9A7D-41B3-8BCE-75001A7243E1}">
      <text>
        <r>
          <rPr>
            <b/>
            <sz val="9"/>
            <color indexed="81"/>
            <rFont val="Tahoma"/>
            <family val="2"/>
          </rPr>
          <t>Chiel:</t>
        </r>
        <r>
          <rPr>
            <sz val="9"/>
            <color indexed="81"/>
            <rFont val="Tahoma"/>
            <family val="2"/>
          </rPr>
          <t xml:space="preserve">
manually adjusted, because not in same order of magnitude as literature</t>
        </r>
      </text>
    </comment>
    <comment ref="C18" authorId="0" shapeId="0" xr:uid="{70458961-4900-45B5-B8A8-96EAE4D2F89C}">
      <text>
        <r>
          <rPr>
            <b/>
            <sz val="9"/>
            <color indexed="81"/>
            <rFont val="Tahoma"/>
            <family val="2"/>
          </rPr>
          <t>Chiel:</t>
        </r>
        <r>
          <rPr>
            <sz val="9"/>
            <color indexed="81"/>
            <rFont val="Tahoma"/>
            <family val="2"/>
          </rPr>
          <t xml:space="preserve">
Manually adjust to conform with literature.
Completely dissociates, thus value of 100 taken.</t>
        </r>
      </text>
    </comment>
    <comment ref="D18" authorId="0" shapeId="0" xr:uid="{177CC48F-EB57-4F75-A08A-B1631E04F45D}">
      <text>
        <r>
          <rPr>
            <b/>
            <sz val="9"/>
            <color indexed="81"/>
            <rFont val="Tahoma"/>
            <family val="2"/>
          </rPr>
          <t>Chiel:</t>
        </r>
        <r>
          <rPr>
            <sz val="9"/>
            <color indexed="81"/>
            <rFont val="Tahoma"/>
            <family val="2"/>
          </rPr>
          <t xml:space="preserve">
manually adjusted to be in same order of magnitude as literature
see: https://pubchem.ncbi.nlm.nih.gov/compound/Sulfuric-acid#section=Structures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tc={FAFA8C7C-6800-4018-947D-B9F524B630BA}</author>
  </authors>
  <commentList>
    <comment ref="B5" authorId="0" shapeId="0" xr:uid="{FAFA8C7C-6800-4018-947D-B9F524B630BA}">
      <text>
        <t>[Threaded comment]
Your version of Excel allows you to read this threaded comment; however, any edits to it will get removed if the file is opened in a newer version of Excel. Learn more: https://go.microsoft.com/fwlink/?linkid=870924
Comment:
    From [Strous1998]</t>
      </text>
    </comment>
  </commentList>
</comments>
</file>

<file path=xl/sharedStrings.xml><?xml version="1.0" encoding="utf-8"?>
<sst xmlns="http://schemas.openxmlformats.org/spreadsheetml/2006/main" count="565" uniqueCount="284">
  <si>
    <t>AOB/AOA</t>
  </si>
  <si>
    <t>NOBs</t>
  </si>
  <si>
    <t>Comamox</t>
  </si>
  <si>
    <t>Anammox</t>
  </si>
  <si>
    <t>Name</t>
  </si>
  <si>
    <t>Constant</t>
  </si>
  <si>
    <t>Value</t>
  </si>
  <si>
    <t>Units</t>
  </si>
  <si>
    <t>Functional Group</t>
  </si>
  <si>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cat</t>
    </r>
    <r>
      <rPr>
        <sz val="12"/>
        <color theme="1"/>
        <rFont val="Arial"/>
        <family val="2"/>
      </rPr>
      <t xml:space="preserve"> (kJ/moleDonor)</t>
    </r>
  </si>
  <si>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 xml:space="preserve">ana </t>
    </r>
    <r>
      <rPr>
        <sz val="12"/>
        <color theme="1"/>
        <rFont val="Arial"/>
        <family val="2"/>
      </rPr>
      <t>(kJ/molX)</t>
    </r>
  </si>
  <si>
    <r>
      <rPr>
        <sz val="12"/>
        <color theme="1"/>
        <rFont val="Symbol"/>
        <family val="1"/>
        <charset val="2"/>
      </rPr>
      <t>D</t>
    </r>
    <r>
      <rPr>
        <sz val="12"/>
        <color theme="1"/>
        <rFont val="Arial"/>
        <family val="2"/>
      </rPr>
      <t>G</t>
    </r>
    <r>
      <rPr>
        <vertAlign val="subscript"/>
        <sz val="12"/>
        <color theme="1"/>
        <rFont val="Arial"/>
        <family val="2"/>
      </rPr>
      <t>dis</t>
    </r>
    <r>
      <rPr>
        <sz val="12"/>
        <color theme="1"/>
        <rFont val="Arial"/>
        <family val="2"/>
      </rPr>
      <t xml:space="preserve"> (kJ/molX)</t>
    </r>
  </si>
  <si>
    <t>l</t>
  </si>
  <si>
    <t>Yield</t>
  </si>
  <si>
    <t>Component</t>
  </si>
  <si>
    <r>
      <rPr>
        <sz val="12"/>
        <color theme="1"/>
        <rFont val="Symbol"/>
        <family val="1"/>
        <charset val="2"/>
      </rPr>
      <t>D</t>
    </r>
    <r>
      <rPr>
        <sz val="12"/>
        <color theme="1"/>
        <rFont val="Arial"/>
        <family val="2"/>
      </rPr>
      <t>G</t>
    </r>
    <r>
      <rPr>
        <vertAlign val="superscript"/>
        <sz val="12"/>
        <color theme="1"/>
        <rFont val="Arial"/>
        <family val="2"/>
      </rPr>
      <t>0</t>
    </r>
    <r>
      <rPr>
        <vertAlign val="subscript"/>
        <sz val="12"/>
        <color theme="1"/>
        <rFont val="Arial"/>
        <family val="2"/>
      </rPr>
      <t>formation</t>
    </r>
  </si>
  <si>
    <t>g</t>
  </si>
  <si>
    <t>C</t>
  </si>
  <si>
    <t>H</t>
  </si>
  <si>
    <t>O</t>
  </si>
  <si>
    <t>N</t>
  </si>
  <si>
    <t>P</t>
  </si>
  <si>
    <t>S</t>
  </si>
  <si>
    <t>Charge</t>
  </si>
  <si>
    <t>Catabolism</t>
  </si>
  <si>
    <t>Anabolism*</t>
  </si>
  <si>
    <t>Anabolism eD</t>
  </si>
  <si>
    <t>Anabolism</t>
  </si>
  <si>
    <t>DECAY</t>
  </si>
  <si>
    <t>Faraday</t>
  </si>
  <si>
    <t>F</t>
  </si>
  <si>
    <t>kC/mole</t>
  </si>
  <si>
    <r>
      <t>NH</t>
    </r>
    <r>
      <rPr>
        <vertAlign val="subscript"/>
        <sz val="12"/>
        <rFont val="Arial"/>
        <family val="2"/>
      </rPr>
      <t>4</t>
    </r>
    <r>
      <rPr>
        <vertAlign val="superscript"/>
        <sz val="12"/>
        <rFont val="Arial"/>
        <family val="2"/>
      </rPr>
      <t>+</t>
    </r>
  </si>
  <si>
    <t>AOBs/AOAs</t>
  </si>
  <si>
    <r>
      <t>NH</t>
    </r>
    <r>
      <rPr>
        <vertAlign val="subscript"/>
        <sz val="12"/>
        <rFont val="Arial"/>
        <family val="2"/>
      </rPr>
      <t>3</t>
    </r>
  </si>
  <si>
    <t>Gases Cte.</t>
  </si>
  <si>
    <t>R</t>
  </si>
  <si>
    <t>kJ/molK</t>
  </si>
  <si>
    <r>
      <t>NO</t>
    </r>
    <r>
      <rPr>
        <vertAlign val="subscript"/>
        <sz val="12"/>
        <rFont val="Arial"/>
        <family val="2"/>
      </rPr>
      <t>2</t>
    </r>
    <r>
      <rPr>
        <vertAlign val="superscript"/>
        <sz val="12"/>
        <rFont val="Arial"/>
        <family val="2"/>
      </rPr>
      <t>-</t>
    </r>
  </si>
  <si>
    <t>Temperature</t>
  </si>
  <si>
    <t>T</t>
  </si>
  <si>
    <t>K</t>
  </si>
  <si>
    <t>Comammox</t>
  </si>
  <si>
    <r>
      <t>NO</t>
    </r>
    <r>
      <rPr>
        <vertAlign val="subscript"/>
        <sz val="12"/>
        <rFont val="Arial"/>
        <family val="2"/>
      </rPr>
      <t>3</t>
    </r>
    <r>
      <rPr>
        <vertAlign val="superscript"/>
        <sz val="12"/>
        <rFont val="Arial"/>
        <family val="2"/>
      </rPr>
      <t>-</t>
    </r>
  </si>
  <si>
    <r>
      <t>O</t>
    </r>
    <r>
      <rPr>
        <vertAlign val="subscript"/>
        <sz val="12"/>
        <rFont val="Arial"/>
        <family val="2"/>
      </rPr>
      <t>2</t>
    </r>
  </si>
  <si>
    <r>
      <t>HCO</t>
    </r>
    <r>
      <rPr>
        <vertAlign val="subscript"/>
        <sz val="12"/>
        <color theme="1"/>
        <rFont val="Arial"/>
        <family val="2"/>
      </rPr>
      <t>3</t>
    </r>
    <r>
      <rPr>
        <vertAlign val="superscript"/>
        <sz val="12"/>
        <color theme="1"/>
        <rFont val="Arial"/>
        <family val="2"/>
      </rPr>
      <t>-</t>
    </r>
  </si>
  <si>
    <r>
      <t>gN</t>
    </r>
    <r>
      <rPr>
        <vertAlign val="subscript"/>
        <sz val="12"/>
        <color theme="1"/>
        <rFont val="Arial"/>
        <family val="2"/>
      </rPr>
      <t>2</t>
    </r>
  </si>
  <si>
    <r>
      <t>gO</t>
    </r>
    <r>
      <rPr>
        <vertAlign val="subscript"/>
        <sz val="12"/>
        <color theme="1"/>
        <rFont val="Arial"/>
        <family val="2"/>
      </rPr>
      <t>2</t>
    </r>
  </si>
  <si>
    <r>
      <t>gCO</t>
    </r>
    <r>
      <rPr>
        <vertAlign val="subscript"/>
        <sz val="12"/>
        <color theme="1"/>
        <rFont val="Arial"/>
        <family val="2"/>
      </rPr>
      <t>2</t>
    </r>
  </si>
  <si>
    <r>
      <t>H</t>
    </r>
    <r>
      <rPr>
        <b/>
        <vertAlign val="superscript"/>
        <sz val="14"/>
        <color theme="1"/>
        <rFont val="Calibri"/>
        <family val="2"/>
        <scheme val="minor"/>
      </rPr>
      <t>+</t>
    </r>
    <r>
      <rPr>
        <b/>
        <sz val="14"/>
        <color theme="1"/>
        <rFont val="Calibri"/>
        <family val="2"/>
        <scheme val="minor"/>
      </rPr>
      <t>pump</t>
    </r>
  </si>
  <si>
    <r>
      <t>H</t>
    </r>
    <r>
      <rPr>
        <vertAlign val="subscript"/>
        <sz val="12"/>
        <rFont val="Arial"/>
        <family val="2"/>
      </rPr>
      <t>2</t>
    </r>
    <r>
      <rPr>
        <sz val="12"/>
        <rFont val="Arial"/>
        <family val="2"/>
      </rPr>
      <t>O</t>
    </r>
  </si>
  <si>
    <r>
      <t>H</t>
    </r>
    <r>
      <rPr>
        <vertAlign val="superscript"/>
        <sz val="12"/>
        <rFont val="Arial"/>
        <family val="2"/>
      </rPr>
      <t>+</t>
    </r>
  </si>
  <si>
    <r>
      <t>e</t>
    </r>
    <r>
      <rPr>
        <vertAlign val="superscript"/>
        <sz val="12"/>
        <rFont val="Arial"/>
        <family val="2"/>
      </rPr>
      <t>-</t>
    </r>
  </si>
  <si>
    <t>Biomass</t>
  </si>
  <si>
    <t>Alberty RA. Thermodynamics of Biochemical Reactions 2003 // Thauer 1977 Energy conservation in chemotrophic anaerobic bact</t>
  </si>
  <si>
    <t>Kleerebezem &amp; van Loosdrecht 2010 Critical Review</t>
  </si>
  <si>
    <t>C-bal</t>
  </si>
  <si>
    <t>H-bal</t>
  </si>
  <si>
    <t>Commamox</t>
  </si>
  <si>
    <t>O-bal</t>
  </si>
  <si>
    <t>N-bal</t>
  </si>
  <si>
    <t>P-bal</t>
  </si>
  <si>
    <t>S-bal</t>
  </si>
  <si>
    <t>Autotrophs</t>
  </si>
  <si>
    <t>kJ/mol eDonor</t>
  </si>
  <si>
    <r>
      <rPr>
        <sz val="12"/>
        <color rgb="FFFF0000"/>
        <rFont val="Symbol"/>
        <family val="1"/>
        <charset val="2"/>
      </rPr>
      <t>D</t>
    </r>
    <r>
      <rPr>
        <sz val="12"/>
        <color rgb="FFFF0000"/>
        <rFont val="Arial"/>
        <family val="2"/>
      </rPr>
      <t>G</t>
    </r>
    <r>
      <rPr>
        <vertAlign val="superscript"/>
        <sz val="12"/>
        <color rgb="FFFF0000"/>
        <rFont val="Arial"/>
        <family val="2"/>
      </rPr>
      <t>0</t>
    </r>
  </si>
  <si>
    <t>pH 7 correction</t>
  </si>
  <si>
    <r>
      <rPr>
        <sz val="12"/>
        <color rgb="FFFF0000"/>
        <rFont val="Symbol"/>
        <family val="1"/>
        <charset val="2"/>
      </rPr>
      <t>D</t>
    </r>
    <r>
      <rPr>
        <sz val="12"/>
        <color rgb="FFFF0000"/>
        <rFont val="Arial"/>
        <family val="2"/>
      </rPr>
      <t>G</t>
    </r>
    <r>
      <rPr>
        <vertAlign val="superscript"/>
        <sz val="12"/>
        <color rgb="FFFF0000"/>
        <rFont val="Arial"/>
        <family val="2"/>
      </rPr>
      <t xml:space="preserve">01 </t>
    </r>
  </si>
  <si>
    <t>muAOB</t>
  </si>
  <si>
    <t>muNOB</t>
  </si>
  <si>
    <t>bAOB</t>
  </si>
  <si>
    <t>bNOB</t>
  </si>
  <si>
    <t>eD</t>
  </si>
  <si>
    <t>AOB</t>
  </si>
  <si>
    <t>NH3</t>
  </si>
  <si>
    <t>NO2</t>
  </si>
  <si>
    <t>AMX</t>
  </si>
  <si>
    <t>Cat</t>
  </si>
  <si>
    <t>Anab</t>
  </si>
  <si>
    <t>Decay</t>
  </si>
  <si>
    <t>NO3</t>
  </si>
  <si>
    <t>O2</t>
  </si>
  <si>
    <t>CO2</t>
  </si>
  <si>
    <t>SO4</t>
  </si>
  <si>
    <t>Na</t>
  </si>
  <si>
    <t>gN2</t>
  </si>
  <si>
    <t>H2O</t>
  </si>
  <si>
    <t>mol/L</t>
  </si>
  <si>
    <t>L</t>
  </si>
  <si>
    <t>G</t>
  </si>
  <si>
    <t>D</t>
  </si>
  <si>
    <t>FORMS</t>
  </si>
  <si>
    <t>Inf</t>
  </si>
  <si>
    <t>NA</t>
  </si>
  <si>
    <t>m</t>
  </si>
  <si>
    <t>g/m3</t>
  </si>
  <si>
    <t>g/mol</t>
  </si>
  <si>
    <t>-</t>
  </si>
  <si>
    <t>m3</t>
  </si>
  <si>
    <t>HRT</t>
  </si>
  <si>
    <t>h</t>
  </si>
  <si>
    <t>nx</t>
  </si>
  <si>
    <t>ny</t>
  </si>
  <si>
    <t>maxx</t>
  </si>
  <si>
    <t>maxy</t>
  </si>
  <si>
    <t>dx</t>
  </si>
  <si>
    <t>dy</t>
  </si>
  <si>
    <t>dz</t>
  </si>
  <si>
    <t>m2/h</t>
  </si>
  <si>
    <t>%</t>
  </si>
  <si>
    <t>Simulation description</t>
  </si>
  <si>
    <t>Goal</t>
  </si>
  <si>
    <t>Simulation name</t>
  </si>
  <si>
    <t>Neut</t>
  </si>
  <si>
    <t>[NH3]sp=20mM</t>
  </si>
  <si>
    <t>AOB/NOB system</t>
  </si>
  <si>
    <t>T=20C, pH=7.7</t>
  </si>
  <si>
    <t>[O2]=6mg/L</t>
  </si>
  <si>
    <t>kDist</t>
  </si>
  <si>
    <t>CMX flexibility</t>
  </si>
  <si>
    <t>CMX</t>
  </si>
  <si>
    <t>NRMX</t>
  </si>
  <si>
    <t>Boundary layer thickness</t>
  </si>
  <si>
    <t>μm</t>
  </si>
  <si>
    <t>CALCULATED domain size in the x direction</t>
  </si>
  <si>
    <t>CALCULATED domain size in the y direction</t>
  </si>
  <si>
    <t>Gridcell size in the x direction</t>
  </si>
  <si>
    <t>Gridcell size in the y direction</t>
  </si>
  <si>
    <t>Gridcell size in the z direction</t>
  </si>
  <si>
    <t>Size of the boundary layer between bacteria and the bulk liquid</t>
  </si>
  <si>
    <t>Number of gridcells in the x direction. Ideally should be 2n + 1</t>
  </si>
  <si>
    <t>Number of gridcells in the y direction. Ideally should be 2n + 1</t>
  </si>
  <si>
    <t>Final time of the simulation before it will stop</t>
  </si>
  <si>
    <t>dT save</t>
  </si>
  <si>
    <t>dT backup</t>
  </si>
  <si>
    <t>Time (in simulation) between saving</t>
  </si>
  <si>
    <t>Time (in simulation) between making back ups</t>
  </si>
  <si>
    <t>SPACIAL DISCRETIZATION</t>
  </si>
  <si>
    <t>TEMPORAL DISCRETIZATION</t>
  </si>
  <si>
    <t>Simulation end</t>
  </si>
  <si>
    <t>Minimum Neumann stability coeff.</t>
  </si>
  <si>
    <t>Maximum Neumann stability coeff.</t>
  </si>
  <si>
    <t>Initial Neumann stability coeff.</t>
  </si>
  <si>
    <t>Minimum dT diffusion</t>
  </si>
  <si>
    <t>Maximum dT diffusion</t>
  </si>
  <si>
    <t>Initial dT diffusion</t>
  </si>
  <si>
    <t>Minimum Neumann stability coefficient for the diffusion timestep</t>
  </si>
  <si>
    <t>CALCULATED Minimum diffusion timestep</t>
  </si>
  <si>
    <t>Maximum Neumann stability coefficient for the diffusion timestep</t>
  </si>
  <si>
    <t>Initial Neumann stability coefficient for the diffusion timestep</t>
  </si>
  <si>
    <t>CALCULATED Maximum diffusion timestep</t>
  </si>
  <si>
    <t>CALCULATED Initial diffusion timestep</t>
  </si>
  <si>
    <t>Minimum dT bacteria</t>
  </si>
  <si>
    <t>Maximum dT bacteria</t>
  </si>
  <si>
    <t>Initial dT bacteria</t>
  </si>
  <si>
    <t>Initial timestep for bacterial activity</t>
  </si>
  <si>
    <t>Minimum bacterial timestep</t>
  </si>
  <si>
    <t>Maximum bacterial timestep</t>
  </si>
  <si>
    <t>Dynamic dT</t>
  </si>
  <si>
    <t>Apply dynamic timestepping in the simulation. When true, fill in values below</t>
  </si>
  <si>
    <t>nIterThreshold</t>
  </si>
  <si>
    <t>iterThresholdDecrease</t>
  </si>
  <si>
    <t>iterThresholdIncrease</t>
  </si>
  <si>
    <t>nIters per cycle</t>
  </si>
  <si>
    <t>tolerance no-convergence</t>
  </si>
  <si>
    <t>maximum relative bulk conc change</t>
  </si>
  <si>
    <t>Number of steady state cycles before dT (diffusion &amp; bacterial) can change again. Default: 3</t>
  </si>
  <si>
    <t>Number of diffusion iterations before checking for non-convergence and potential decrease of dT for diffusion. Default: 500</t>
  </si>
  <si>
    <t>Threshold for the number of diffusion iterations in a steady state cycle before dT diffusion should be decreased. Default: 200</t>
  </si>
  <si>
    <t>Threshold for the number of diffusion iterations in a steady state cycle before dT diffusion should be increased. Default: 40</t>
  </si>
  <si>
    <t>initial RES threshold increase</t>
  </si>
  <si>
    <t>Absolute difference between consecutive maximum RES values below which system is considered non-convergent. Default: 1e-6</t>
  </si>
  <si>
    <t>Maximum relative change in bulk concentration, below which the dT bacterial is decreased. Default: 2%</t>
  </si>
  <si>
    <t>DYNAMIC TIMESTEPPING</t>
  </si>
  <si>
    <t>Threshold for the initial RES value that needs to be reached for increase of dT bacterial. Default: 20%</t>
  </si>
  <si>
    <t>Gas constant</t>
  </si>
  <si>
    <t>Representative volume</t>
  </si>
  <si>
    <t>pH setpoint</t>
  </si>
  <si>
    <t>Variable HRT</t>
  </si>
  <si>
    <t xml:space="preserve">Setpoint of ammonium below which the </t>
  </si>
  <si>
    <t>Simulate a variable HRT based on the bulk liquid concentration of one specific compound. If true, set values below.</t>
  </si>
  <si>
    <t>Setpoint</t>
  </si>
  <si>
    <t>Compound setpoint</t>
  </si>
  <si>
    <t>Temperature of the reactor</t>
  </si>
  <si>
    <t>Hydroly Retention Time</t>
  </si>
  <si>
    <t>pH value at which to control the bulk liquid</t>
  </si>
  <si>
    <t>CALCULATED Representative volume of the reactor that is modelled in the simulation domain</t>
  </si>
  <si>
    <t>Diffusivity</t>
  </si>
  <si>
    <t>Make sure that all compounds are in the same order and have the same name as in the rest of the Excel file</t>
  </si>
  <si>
    <t>pH solver tolerance</t>
  </si>
  <si>
    <t>Maximum mass bacterium</t>
  </si>
  <si>
    <t>Minimum mass bacterium</t>
  </si>
  <si>
    <t>Maximum radius bacterium</t>
  </si>
  <si>
    <t>Density bacterium</t>
  </si>
  <si>
    <t>Molecular weight bacterium</t>
  </si>
  <si>
    <t>Maximum granule radius</t>
  </si>
  <si>
    <t>Starting granule radius</t>
  </si>
  <si>
    <t>Maximum nBacteria</t>
  </si>
  <si>
    <t>CALCULATED Maximum mass per bacterium before division is enforced</t>
  </si>
  <si>
    <t>CALCULATED Minimum mass per bacterium before it is either inactivated or dies</t>
  </si>
  <si>
    <t>Maximum bacterial radius before division is enforced</t>
  </si>
  <si>
    <t>Density of a bacterium</t>
  </si>
  <si>
    <t>Molecular weight of a bacterium</t>
  </si>
  <si>
    <t>Maximum granule radius (in the IbM this value is checked against the domain size). If no maximum radius is to be set, set detachment method to 'none'.</t>
  </si>
  <si>
    <t>Radius of the starting granule</t>
  </si>
  <si>
    <t>Maximum number of bacterium in the domain</t>
  </si>
  <si>
    <t>Distance factor that is enforced between neighbouring bacteria, to enforce realistic bacterial density values</t>
  </si>
  <si>
    <t>Inactivation enabled</t>
  </si>
  <si>
    <t>When bacteria reach a mass below the minimum threshold, are they inactivated (TRUE) or are they removed/dead (FALSE)</t>
  </si>
  <si>
    <t>Detachment method</t>
  </si>
  <si>
    <t>Detachment constant</t>
  </si>
  <si>
    <t>1/m2.h</t>
  </si>
  <si>
    <t>mechanistic</t>
  </si>
  <si>
    <t>Select the method of detachment</t>
  </si>
  <si>
    <t>Detachment constant to control the rate of detachment</t>
  </si>
  <si>
    <t>Steady state RES threshold</t>
  </si>
  <si>
    <t>RES determination method</t>
  </si>
  <si>
    <t>max</t>
  </si>
  <si>
    <t>nIters diffusion per SS check</t>
  </si>
  <si>
    <t>Number of diffusion iterations per check for steady state</t>
  </si>
  <si>
    <t>Method of determining the RES value. Default: max</t>
  </si>
  <si>
    <t>Residual value of the diffusion equation below which steady state can be assumed. Default: 0.5%</t>
  </si>
  <si>
    <t>Concentration tolerance</t>
  </si>
  <si>
    <t>Absolute concentration that is below the resolution of the model. Default: 1e-6 mol/L</t>
  </si>
  <si>
    <t>Initialisation method</t>
  </si>
  <si>
    <t>granule</t>
  </si>
  <si>
    <t>pH solving included</t>
  </si>
  <si>
    <t>Tolerance for the residual of charges in the determination of the pH. Default: 1e-15</t>
  </si>
  <si>
    <t xml:space="preserve">Include a variable pH </t>
  </si>
  <si>
    <t>Speciation included</t>
  </si>
  <si>
    <t>Diffusion tolerance</t>
  </si>
  <si>
    <t>How far can the diffusion solution from the Multigrid method differ from the solution (norm of difference between solution and real solution). Default: 1e-8</t>
  </si>
  <si>
    <t>Parallelisation</t>
  </si>
  <si>
    <t>Does the model need to run on all available cores. Default: false, but switches to parallel computing if above the threshold where it would speed up computation.</t>
  </si>
  <si>
    <t>Set the initial conditions within the initial granule/microcolonies. Again: make sure that all compounds are matching in names and order with all other excel tabs.</t>
  </si>
  <si>
    <t>Set the influent concentrations and whether it should be treated as a Neumann boundary condition (N) or Dirichlet boundary condition (D). Make sure that all compounds match in name and order with all other excel tabs.</t>
  </si>
  <si>
    <t>Fully protonated</t>
  </si>
  <si>
    <t>First deprotonation</t>
  </si>
  <si>
    <t>Second deprotonation</t>
  </si>
  <si>
    <t>Third deprotonation</t>
  </si>
  <si>
    <t>Gaseous equivalent</t>
  </si>
  <si>
    <t>Charge per compound</t>
  </si>
  <si>
    <t>Kd</t>
  </si>
  <si>
    <t>Ka1</t>
  </si>
  <si>
    <t>Ka2</t>
  </si>
  <si>
    <t>Ka3</t>
  </si>
  <si>
    <t>CALCULATED Temperature in Kelvin</t>
  </si>
  <si>
    <t>Temperature (K)</t>
  </si>
  <si>
    <t>kJ/(mol.K)</t>
  </si>
  <si>
    <t>Maintenance</t>
  </si>
  <si>
    <t>Max growth rate</t>
  </si>
  <si>
    <t>Yield C/N</t>
  </si>
  <si>
    <t>Add columns with per bacterial species the Ki values per substrate. Make sure that the compound and bacterium names match the rest of the Excel file</t>
  </si>
  <si>
    <t>Add columns with per bacterial species the Ks values per substrate. Make sure that the compound and bacterium names match the rest of the Excel file</t>
  </si>
  <si>
    <t>Nitrobacter</t>
  </si>
  <si>
    <t>Nitrospira</t>
  </si>
  <si>
    <t>Preferred subspecies</t>
  </si>
  <si>
    <t>Fill in the delta G of formation for each subspecies. These values are used to calculate the equilibrium constants (see below). On the right side, the preferred subspecies can be denoted by the index (from left to right).</t>
  </si>
  <si>
    <t>CALCULATED equilibrium constants, based on the delta G of formation values. If the values differ greatly from literature values, then manually change them (see orange cells).</t>
  </si>
  <si>
    <t>Fill in the charge per subcomponent. If subcomponent does not exist, fill in 'NA'</t>
  </si>
  <si>
    <t>pH bulk concentration corrected</t>
  </si>
  <si>
    <t>Does the bulk liquid need to have the pH from the setpoint</t>
  </si>
  <si>
    <t>Structure model type</t>
  </si>
  <si>
    <t>Structure model</t>
  </si>
  <si>
    <t>Is this a model for structure simulations (has some hardcoded properties in the model)</t>
  </si>
  <si>
    <t xml:space="preserve">Which of the structure model simulations is this? Neut: Neutralism, Comp: Competition, Comm: Commensalism, Copr: Coprotection </t>
  </si>
  <si>
    <t>Calculate subspecies compound using the equilibrium constants calculated from dG values. If pH solving is included, then this value is always set to TRUE.</t>
  </si>
  <si>
    <t>This is a summary of all settings in the model. Do not change them here, but in the respective tab.</t>
  </si>
  <si>
    <t>Compound name for which the concentration should be below given threshold (i.e. Setpoint). Make sure this name matches the compound name in rest of the Excel file</t>
  </si>
  <si>
    <t>How to use this Excel sheet</t>
  </si>
  <si>
    <t>All values in this file are loaded into the IbM model using the loadPresetFile function. Make sure that all values are filled in correctly, so that the model makes sense.</t>
  </si>
  <si>
    <t>There are a few different types of cells in this Excel, here is a legend:</t>
  </si>
  <si>
    <t>Cells that look like this, contain calculated values, don't change these.</t>
  </si>
  <si>
    <t>This cell contains the name of the variable/short description</t>
  </si>
  <si>
    <t>This cell contains a value that has been manually adjusted (Make sure to mark these cells yourself, so that it is clear later on which values are changed from the standard calculation/value)</t>
  </si>
  <si>
    <t>Fill in all cells that look like this</t>
  </si>
  <si>
    <t>Due to some setting, some cells no longer need to be filled in. If that is the case, those cells look like this</t>
  </si>
  <si>
    <t>This cell contains the units of the value that should be filled in. Don’t change the contents of these cells, but rather make sure that the filled in value is in these units</t>
  </si>
  <si>
    <t>Suspension: how many bacteria start in the suspension</t>
  </si>
  <si>
    <t>Starting number of bacteria (granule)</t>
  </si>
  <si>
    <t>Starting number of bacteria (suspension)</t>
  </si>
  <si>
    <t>CALCULATED: approximated number of bacteria in the starting granule, based on optimal packing of bacteria in circle. Will be slightly lower in reality</t>
  </si>
  <si>
    <t>Fill in the yields &amp; electron donor molecules for each species. If the maintenance and growth rate are to be set, fill them in as well. If these are to be calculated on the fly, leave blank or fill in 'NA'. The formula for the maintenance and growth rate should manually be added to the calculate_max_growth_rate_and_maint.m script</t>
  </si>
  <si>
    <t>Starting bio-aggregate in the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</si>
</sst>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 #,##0.00_-;_-[$€]* &quot;-&quot;??_-;_-@_-"/>
    <numFmt numFmtId="165" formatCode="_-* #,##0\ &quot;pta&quot;_-;\-* #,##0\ &quot;pta&quot;_-;_-* &quot;-&quot;\ &quot;pta&quot;_-;_-@_-"/>
    <numFmt numFmtId="166" formatCode="_-* #,##0\ _p_t_a_-;\-* #,##0\ _p_t_a_-;_-* &quot;-&quot;\ _p_t_a_-;_-@_-"/>
    <numFmt numFmtId="167" formatCode="_-* #,##0.00\ &quot;pta&quot;_-;\-* #,##0.00\ &quot;pta&quot;_-;_-* &quot;-&quot;??\ &quot;pta&quot;_-;_-@_-"/>
    <numFmt numFmtId="168" formatCode="_-* #,##0.00\ _p_t_a_-;\-* #,##0.00\ _p_t_a_-;_-* &quot;-&quot;??\ _p_t_a_-;_-@_-"/>
    <numFmt numFmtId="169" formatCode="0.000"/>
    <numFmt numFmtId="170" formatCode="0.0"/>
    <numFmt numFmtId="171" formatCode="0.0%"/>
  </numFmts>
  <fonts count="43" x14ac:knownFonts="1">
    <font>
      <sz val="10"/>
      <name val="Arial"/>
    </font>
    <font>
      <sz val="11"/>
      <color theme="1"/>
      <name val="Calibri"/>
      <family val="2"/>
      <scheme val="minor"/>
    </font>
    <font>
      <sz val="10"/>
      <name val="Arial"/>
      <family val="2"/>
    </font>
    <font>
      <sz val="10"/>
      <color theme="1"/>
      <name val="Arial"/>
      <family val="2"/>
    </font>
    <font>
      <sz val="11"/>
      <color theme="1"/>
      <name val="Arial"/>
      <family val="2"/>
    </font>
    <font>
      <b/>
      <sz val="11"/>
      <color theme="1"/>
      <name val="Arial"/>
      <family val="2"/>
    </font>
    <font>
      <b/>
      <sz val="12"/>
      <color theme="1"/>
      <name val="Arial"/>
      <family val="2"/>
    </font>
    <font>
      <sz val="12"/>
      <color theme="1"/>
      <name val="Arial"/>
      <family val="2"/>
    </font>
    <font>
      <sz val="12"/>
      <color theme="1"/>
      <name val="Symbol"/>
      <family val="1"/>
      <charset val="2"/>
    </font>
    <font>
      <vertAlign val="superscript"/>
      <sz val="12"/>
      <color theme="1"/>
      <name val="Arial"/>
      <family val="2"/>
    </font>
    <font>
      <vertAlign val="subscript"/>
      <sz val="12"/>
      <color theme="1"/>
      <name val="Arial"/>
      <family val="2"/>
    </font>
    <font>
      <i/>
      <sz val="11"/>
      <color theme="1"/>
      <name val="Arial"/>
      <family val="2"/>
    </font>
    <font>
      <sz val="12"/>
      <name val="Arial"/>
      <family val="2"/>
    </font>
    <font>
      <b/>
      <sz val="11"/>
      <color rgb="FF002060"/>
      <name val="Arial"/>
      <family val="2"/>
    </font>
    <font>
      <sz val="11"/>
      <color theme="1"/>
      <name val="Symbol"/>
      <family val="1"/>
      <charset val="2"/>
    </font>
    <font>
      <i/>
      <sz val="11"/>
      <color rgb="FFFF0000"/>
      <name val="Arial"/>
      <family val="2"/>
    </font>
    <font>
      <sz val="11"/>
      <color rgb="FFFF0000"/>
      <name val="Arial"/>
      <family val="2"/>
    </font>
    <font>
      <sz val="12"/>
      <color rgb="FFFF0000"/>
      <name val="Calibri"/>
      <family val="2"/>
    </font>
    <font>
      <sz val="12"/>
      <color rgb="FFFF0000"/>
      <name val="Symbol"/>
      <family val="1"/>
      <charset val="2"/>
    </font>
    <font>
      <sz val="12"/>
      <color rgb="FFFF0000"/>
      <name val="Arial"/>
      <family val="2"/>
    </font>
    <font>
      <vertAlign val="superscript"/>
      <sz val="12"/>
      <color rgb="FFFF0000"/>
      <name val="Arial"/>
      <family val="2"/>
    </font>
    <font>
      <b/>
      <sz val="14"/>
      <color theme="1"/>
      <name val="Calibri"/>
      <family val="2"/>
      <scheme val="minor"/>
    </font>
    <font>
      <b/>
      <vertAlign val="superscript"/>
      <sz val="14"/>
      <color theme="1"/>
      <name val="Calibri"/>
      <family val="2"/>
      <scheme val="minor"/>
    </font>
    <font>
      <sz val="10"/>
      <name val="Arial"/>
      <family val="2"/>
    </font>
    <font>
      <b/>
      <sz val="10"/>
      <name val="Arial"/>
      <family val="2"/>
    </font>
    <font>
      <b/>
      <i/>
      <sz val="10"/>
      <name val="Arial"/>
      <family val="2"/>
    </font>
    <font>
      <sz val="10"/>
      <color rgb="FFFF0000"/>
      <name val="Arial"/>
      <family val="2"/>
    </font>
    <font>
      <u/>
      <sz val="10"/>
      <name val="Arial"/>
      <family val="2"/>
    </font>
    <font>
      <sz val="10"/>
      <name val="Arial"/>
      <family val="2"/>
    </font>
    <font>
      <i/>
      <sz val="10"/>
      <color theme="0" tint="-0.34998626667073579"/>
      <name val="Arial"/>
      <family val="2"/>
    </font>
    <font>
      <sz val="11"/>
      <name val="Times New Roman"/>
      <family val="1"/>
    </font>
    <font>
      <b/>
      <sz val="10"/>
      <name val="Times New Roman"/>
      <family val="1"/>
    </font>
    <font>
      <b/>
      <i/>
      <sz val="10"/>
      <color theme="0" tint="-0.499984740745262"/>
      <name val="Arial"/>
      <family val="2"/>
    </font>
    <font>
      <vertAlign val="superscript"/>
      <sz val="12"/>
      <name val="Arial"/>
      <family val="2"/>
    </font>
    <font>
      <vertAlign val="subscript"/>
      <sz val="12"/>
      <name val="Arial"/>
      <family val="2"/>
    </font>
    <font>
      <sz val="10"/>
      <name val="Arial"/>
    </font>
    <font>
      <sz val="11"/>
      <color rgb="FFFF0000"/>
      <name val="Calibri"/>
      <family val="2"/>
      <scheme val="minor"/>
    </font>
    <font>
      <i/>
      <sz val="11"/>
      <color rgb="FF7F7F7F"/>
      <name val="Calibri"/>
      <family val="2"/>
      <scheme val="minor"/>
    </font>
    <font>
      <sz val="9"/>
      <color indexed="81"/>
      <name val="Tahoma"/>
      <family val="2"/>
    </font>
    <font>
      <b/>
      <sz val="9"/>
      <color indexed="81"/>
      <name val="Tahoma"/>
      <family val="2"/>
    </font>
    <font>
      <sz val="8"/>
      <name val="Arial"/>
      <family val="2"/>
    </font>
    <font>
      <sz val="10"/>
      <color rgb="FF3F3F76"/>
      <name val="Arial"/>
      <family val="2"/>
    </font>
    <font>
      <b/>
      <u/>
      <sz val="16"/>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E8B9FF"/>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CC"/>
      </patternFill>
    </fill>
    <fill>
      <patternFill patternType="solid">
        <fgColor theme="9" tint="0.39997558519241921"/>
        <bgColor indexed="64"/>
      </patternFill>
    </fill>
  </fills>
  <borders count="83">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auto="1"/>
      </left>
      <right style="thin">
        <color auto="1"/>
      </right>
      <top style="medium">
        <color auto="1"/>
      </top>
      <bottom/>
      <diagonal/>
    </border>
    <border>
      <left style="medium">
        <color indexed="64"/>
      </left>
      <right/>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rgb="FFB2B2B2"/>
      </left>
      <right style="thin">
        <color rgb="FFB2B2B2"/>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rgb="FFB2B2B2"/>
      </left>
      <right style="thin">
        <color rgb="FFB2B2B2"/>
      </right>
      <top/>
      <bottom style="thin">
        <color indexed="64"/>
      </bottom>
      <diagonal/>
    </border>
    <border>
      <left style="thin">
        <color rgb="FFB2B2B2"/>
      </left>
      <right style="thin">
        <color rgb="FFB2B2B2"/>
      </right>
      <top/>
      <bottom style="medium">
        <color indexed="64"/>
      </bottom>
      <diagonal/>
    </border>
    <border>
      <left style="thin">
        <color rgb="FFB2B2B2"/>
      </left>
      <right style="thin">
        <color rgb="FFB2B2B2"/>
      </right>
      <top/>
      <bottom/>
      <diagonal/>
    </border>
    <border>
      <left style="medium">
        <color indexed="64"/>
      </left>
      <right style="medium">
        <color indexed="64"/>
      </right>
      <top style="thin">
        <color indexed="64"/>
      </top>
      <bottom/>
      <diagonal/>
    </border>
    <border>
      <left style="thin">
        <color rgb="FFB2B2B2"/>
      </left>
      <right style="thin">
        <color rgb="FFB2B2B2"/>
      </right>
      <top style="thin">
        <color indexed="64"/>
      </top>
      <bottom style="thin">
        <color rgb="FFB2B2B2"/>
      </bottom>
      <diagonal/>
    </border>
    <border>
      <left style="medium">
        <color indexed="64"/>
      </left>
      <right style="medium">
        <color indexed="64"/>
      </right>
      <top/>
      <bottom style="thin">
        <color rgb="FFB2B2B2"/>
      </bottom>
      <diagonal/>
    </border>
    <border>
      <left style="medium">
        <color indexed="64"/>
      </left>
      <right style="medium">
        <color indexed="64"/>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rgb="FFB2B2B2"/>
      </top>
      <bottom style="thin">
        <color rgb="FFB2B2B2"/>
      </bottom>
      <diagonal/>
    </border>
    <border>
      <left style="medium">
        <color indexed="64"/>
      </left>
      <right style="thin">
        <color indexed="64"/>
      </right>
      <top style="thin">
        <color rgb="FFB2B2B2"/>
      </top>
      <bottom style="thin">
        <color indexed="64"/>
      </bottom>
      <diagonal/>
    </border>
    <border>
      <left style="medium">
        <color indexed="64"/>
      </left>
      <right style="thin">
        <color indexed="64"/>
      </right>
      <top style="thin">
        <color indexed="64"/>
      </top>
      <bottom style="thin">
        <color rgb="FFB2B2B2"/>
      </bottom>
      <diagonal/>
    </border>
    <border>
      <left style="medium">
        <color indexed="64"/>
      </left>
      <right/>
      <top style="medium">
        <color indexed="64"/>
      </top>
      <bottom style="medium">
        <color indexed="64"/>
      </bottom>
      <diagonal/>
    </border>
    <border>
      <left style="thin">
        <color rgb="FFB2B2B2"/>
      </left>
      <right style="thin">
        <color rgb="FFB2B2B2"/>
      </right>
      <top style="thin">
        <color rgb="FFB2B2B2"/>
      </top>
      <bottom/>
      <diagonal/>
    </border>
    <border>
      <left style="thin">
        <color rgb="FFB2B2B2"/>
      </left>
      <right style="medium">
        <color indexed="64"/>
      </right>
      <top style="thin">
        <color indexed="64"/>
      </top>
      <bottom style="thin">
        <color indexed="64"/>
      </bottom>
      <diagonal/>
    </border>
    <border>
      <left style="medium">
        <color indexed="64"/>
      </left>
      <right style="thin">
        <color rgb="FFB2B2B2"/>
      </right>
      <top style="thin">
        <color indexed="64"/>
      </top>
      <bottom style="thin">
        <color indexed="64"/>
      </bottom>
      <diagonal/>
    </border>
    <border>
      <left style="medium">
        <color indexed="64"/>
      </left>
      <right style="thin">
        <color rgb="FFB2B2B2"/>
      </right>
      <top style="thin">
        <color rgb="FFB2B2B2"/>
      </top>
      <bottom style="thin">
        <color indexed="64"/>
      </bottom>
      <diagonal/>
    </border>
    <border>
      <left style="thin">
        <color rgb="FFB2B2B2"/>
      </left>
      <right style="thin">
        <color rgb="FFB2B2B2"/>
      </right>
      <top style="thin">
        <color rgb="FFB2B2B2"/>
      </top>
      <bottom style="thin">
        <color indexed="64"/>
      </bottom>
      <diagonal/>
    </border>
    <border>
      <left style="medium">
        <color indexed="64"/>
      </left>
      <right style="thin">
        <color rgb="FFB2B2B2"/>
      </right>
      <top/>
      <bottom style="thin">
        <color indexed="64"/>
      </bottom>
      <diagonal/>
    </border>
    <border>
      <left style="medium">
        <color indexed="64"/>
      </left>
      <right style="thin">
        <color indexed="64"/>
      </right>
      <top/>
      <bottom style="thin">
        <color rgb="FFB2B2B2"/>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diagonal/>
    </border>
    <border>
      <left style="thin">
        <color rgb="FFB2B2B2"/>
      </left>
      <right style="medium">
        <color indexed="64"/>
      </right>
      <top style="thin">
        <color rgb="FFB2B2B2"/>
      </top>
      <bottom/>
      <diagonal/>
    </border>
    <border>
      <left style="medium">
        <color indexed="64"/>
      </left>
      <right style="thin">
        <color rgb="FFB2B2B2"/>
      </right>
      <top/>
      <bottom style="thin">
        <color rgb="FFB2B2B2"/>
      </bottom>
      <diagonal/>
    </border>
    <border>
      <left style="thin">
        <color rgb="FFB2B2B2"/>
      </left>
      <right style="medium">
        <color indexed="64"/>
      </right>
      <top/>
      <bottom style="thin">
        <color rgb="FFB2B2B2"/>
      </bottom>
      <diagonal/>
    </border>
    <border>
      <left style="thin">
        <color rgb="FFB2B2B2"/>
      </left>
      <right style="medium">
        <color indexed="64"/>
      </right>
      <top style="thin">
        <color rgb="FFB2B2B2"/>
      </top>
      <bottom style="medium">
        <color indexed="64"/>
      </bottom>
      <diagonal/>
    </border>
  </borders>
  <cellStyleXfs count="12">
    <xf numFmtId="0" fontId="0" fillId="0" borderId="0"/>
    <xf numFmtId="164"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0" fontId="2" fillId="0" borderId="0"/>
    <xf numFmtId="0" fontId="1" fillId="0" borderId="0"/>
    <xf numFmtId="9" fontId="35" fillId="0" borderId="0" applyFont="0" applyFill="0" applyBorder="0" applyAlignment="0" applyProtection="0"/>
    <xf numFmtId="0" fontId="36" fillId="0" borderId="0" applyNumberFormat="0" applyFill="0" applyBorder="0" applyAlignment="0" applyProtection="0"/>
    <xf numFmtId="0" fontId="35" fillId="11" borderId="39" applyNumberFormat="0" applyFont="0" applyAlignment="0" applyProtection="0"/>
    <xf numFmtId="0" fontId="37" fillId="0" borderId="0" applyNumberFormat="0" applyFill="0" applyBorder="0" applyAlignment="0" applyProtection="0"/>
  </cellStyleXfs>
  <cellXfs count="260">
    <xf numFmtId="0" fontId="0" fillId="0" borderId="0" xfId="0"/>
    <xf numFmtId="0" fontId="1" fillId="0" borderId="0" xfId="7"/>
    <xf numFmtId="169" fontId="1" fillId="0" borderId="0" xfId="7" applyNumberFormat="1"/>
    <xf numFmtId="0" fontId="5" fillId="4" borderId="12" xfId="7" applyFont="1" applyFill="1" applyBorder="1" applyAlignment="1">
      <alignment horizontal="left" vertical="center"/>
    </xf>
    <xf numFmtId="0" fontId="4" fillId="4" borderId="18" xfId="7" applyFont="1" applyFill="1" applyBorder="1" applyAlignment="1">
      <alignment horizontal="center" vertical="center"/>
    </xf>
    <xf numFmtId="0" fontId="5" fillId="4" borderId="9" xfId="7" applyFont="1" applyFill="1" applyBorder="1" applyAlignment="1">
      <alignment horizontal="center" vertical="center"/>
    </xf>
    <xf numFmtId="0" fontId="6" fillId="4" borderId="12" xfId="7" applyFont="1" applyFill="1" applyBorder="1" applyAlignment="1">
      <alignment horizontal="center"/>
    </xf>
    <xf numFmtId="0" fontId="7" fillId="3" borderId="18" xfId="7" applyFont="1" applyFill="1" applyBorder="1" applyAlignment="1">
      <alignment horizontal="center"/>
    </xf>
    <xf numFmtId="0" fontId="8" fillId="3" borderId="18" xfId="7" applyFont="1" applyFill="1" applyBorder="1" applyAlignment="1">
      <alignment horizontal="center"/>
    </xf>
    <xf numFmtId="169" fontId="6" fillId="3" borderId="9" xfId="7" applyNumberFormat="1" applyFont="1" applyFill="1" applyBorder="1" applyAlignment="1">
      <alignment horizontal="center"/>
    </xf>
    <xf numFmtId="0" fontId="7" fillId="3" borderId="12" xfId="7" applyFont="1" applyFill="1" applyBorder="1" applyAlignment="1">
      <alignment horizontal="center" vertical="center"/>
    </xf>
    <xf numFmtId="0" fontId="7" fillId="3" borderId="12" xfId="7" applyFont="1" applyFill="1" applyBorder="1" applyAlignment="1">
      <alignment horizontal="center"/>
    </xf>
    <xf numFmtId="0" fontId="8" fillId="5" borderId="12" xfId="7" applyFont="1" applyFill="1" applyBorder="1" applyAlignment="1">
      <alignment horizontal="center"/>
    </xf>
    <xf numFmtId="0" fontId="7" fillId="4" borderId="12" xfId="7" applyFont="1" applyFill="1" applyBorder="1" applyAlignment="1">
      <alignment horizontal="center"/>
    </xf>
    <xf numFmtId="0" fontId="3" fillId="4" borderId="12" xfId="7" applyFont="1" applyFill="1" applyBorder="1" applyAlignment="1">
      <alignment horizontal="center"/>
    </xf>
    <xf numFmtId="0" fontId="7" fillId="6" borderId="12" xfId="7" applyFont="1" applyFill="1" applyBorder="1" applyAlignment="1">
      <alignment horizontal="center" vertical="center"/>
    </xf>
    <xf numFmtId="0" fontId="7" fillId="7" borderId="12" xfId="7" applyFont="1" applyFill="1" applyBorder="1" applyAlignment="1">
      <alignment horizontal="center" vertical="center"/>
    </xf>
    <xf numFmtId="0" fontId="7" fillId="8" borderId="12" xfId="7" applyFont="1" applyFill="1" applyBorder="1" applyAlignment="1">
      <alignment horizontal="center" vertical="center"/>
    </xf>
    <xf numFmtId="0" fontId="11" fillId="0" borderId="0" xfId="7" applyFont="1" applyAlignment="1">
      <alignment vertical="center"/>
    </xf>
    <xf numFmtId="0" fontId="4" fillId="0" borderId="0" xfId="7" applyFont="1" applyAlignment="1">
      <alignment horizontal="center" vertical="center"/>
    </xf>
    <xf numFmtId="0" fontId="7" fillId="0" borderId="12" xfId="7" applyFont="1" applyBorder="1" applyAlignment="1">
      <alignment horizontal="center"/>
    </xf>
    <xf numFmtId="2" fontId="4" fillId="0" borderId="18" xfId="7" applyNumberFormat="1" applyFont="1" applyBorder="1" applyAlignment="1">
      <alignment horizontal="center" vertical="center"/>
    </xf>
    <xf numFmtId="2" fontId="4" fillId="0" borderId="18" xfId="7" applyNumberFormat="1" applyFont="1" applyBorder="1" applyAlignment="1">
      <alignment horizontal="center"/>
    </xf>
    <xf numFmtId="169" fontId="5" fillId="0" borderId="9" xfId="7" applyNumberFormat="1" applyFont="1" applyBorder="1" applyAlignment="1">
      <alignment horizontal="center" vertical="center"/>
    </xf>
    <xf numFmtId="0" fontId="12" fillId="0" borderId="1" xfId="7" applyFont="1" applyBorder="1" applyAlignment="1">
      <alignment horizontal="center"/>
    </xf>
    <xf numFmtId="0" fontId="12" fillId="0" borderId="0" xfId="7" applyFont="1" applyAlignment="1">
      <alignment horizontal="center"/>
    </xf>
    <xf numFmtId="0" fontId="13" fillId="0" borderId="3" xfId="7" applyFont="1" applyBorder="1"/>
    <xf numFmtId="0" fontId="4" fillId="0" borderId="0" xfId="7" applyFont="1"/>
    <xf numFmtId="0" fontId="13" fillId="0" borderId="1" xfId="7" applyFont="1" applyBorder="1"/>
    <xf numFmtId="0" fontId="12" fillId="0" borderId="2" xfId="7" applyFont="1" applyBorder="1" applyAlignment="1">
      <alignment horizontal="center"/>
    </xf>
    <xf numFmtId="0" fontId="11" fillId="0" borderId="0" xfId="7" applyFont="1"/>
    <xf numFmtId="0" fontId="4" fillId="0" borderId="0" xfId="7" applyFont="1" applyAlignment="1">
      <alignment horizontal="center"/>
    </xf>
    <xf numFmtId="0" fontId="4" fillId="0" borderId="2" xfId="7" applyFont="1" applyBorder="1" applyAlignment="1">
      <alignment horizontal="center"/>
    </xf>
    <xf numFmtId="0" fontId="4" fillId="0" borderId="1" xfId="7" applyFont="1" applyBorder="1" applyAlignment="1">
      <alignment horizontal="center"/>
    </xf>
    <xf numFmtId="2" fontId="1" fillId="0" borderId="0" xfId="7" applyNumberFormat="1"/>
    <xf numFmtId="0" fontId="7" fillId="0" borderId="2" xfId="7" applyFont="1" applyBorder="1" applyAlignment="1">
      <alignment horizontal="center"/>
    </xf>
    <xf numFmtId="0" fontId="14" fillId="0" borderId="0" xfId="7" applyFont="1" applyAlignment="1">
      <alignment horizontal="center" vertical="center"/>
    </xf>
    <xf numFmtId="0" fontId="12" fillId="0" borderId="6" xfId="7" applyFont="1" applyBorder="1" applyAlignment="1">
      <alignment horizontal="center"/>
    </xf>
    <xf numFmtId="0" fontId="12" fillId="0" borderId="5" xfId="7" applyFont="1" applyBorder="1" applyAlignment="1">
      <alignment horizontal="center"/>
    </xf>
    <xf numFmtId="170" fontId="12" fillId="0" borderId="4" xfId="7" applyNumberFormat="1" applyFont="1" applyBorder="1" applyAlignment="1">
      <alignment horizontal="center"/>
    </xf>
    <xf numFmtId="0" fontId="13" fillId="0" borderId="19" xfId="7" applyFont="1" applyBorder="1"/>
    <xf numFmtId="0" fontId="4" fillId="0" borderId="17" xfId="7" applyFont="1" applyBorder="1"/>
    <xf numFmtId="0" fontId="13" fillId="0" borderId="20" xfId="7" applyFont="1" applyBorder="1"/>
    <xf numFmtId="0" fontId="16" fillId="0" borderId="13" xfId="7" applyFont="1" applyBorder="1" applyAlignment="1">
      <alignment horizontal="center" vertical="center"/>
    </xf>
    <xf numFmtId="0" fontId="4" fillId="0" borderId="3" xfId="7" applyFont="1" applyBorder="1"/>
    <xf numFmtId="0" fontId="4" fillId="0" borderId="21" xfId="7" applyFont="1" applyBorder="1"/>
    <xf numFmtId="0" fontId="16" fillId="0" borderId="2" xfId="7" applyFont="1" applyBorder="1" applyAlignment="1">
      <alignment horizontal="center" vertical="center"/>
    </xf>
    <xf numFmtId="0" fontId="4" fillId="0" borderId="2" xfId="7" applyFont="1" applyBorder="1"/>
    <xf numFmtId="0" fontId="16" fillId="0" borderId="6" xfId="7" applyFont="1" applyBorder="1" applyAlignment="1">
      <alignment horizontal="center" vertical="center"/>
    </xf>
    <xf numFmtId="0" fontId="4" fillId="0" borderId="7" xfId="7" applyFont="1" applyBorder="1"/>
    <xf numFmtId="0" fontId="4" fillId="0" borderId="6" xfId="7" applyFont="1" applyBorder="1"/>
    <xf numFmtId="0" fontId="5" fillId="0" borderId="12" xfId="7" applyFont="1" applyBorder="1" applyAlignment="1">
      <alignment horizontal="center" vertical="center"/>
    </xf>
    <xf numFmtId="0" fontId="17" fillId="0" borderId="13" xfId="7" applyFont="1" applyBorder="1" applyAlignment="1">
      <alignment horizontal="center" vertical="center"/>
    </xf>
    <xf numFmtId="169" fontId="4" fillId="0" borderId="10" xfId="7" applyNumberFormat="1" applyFont="1" applyBorder="1"/>
    <xf numFmtId="169" fontId="4" fillId="0" borderId="11" xfId="7" applyNumberFormat="1" applyFont="1" applyBorder="1"/>
    <xf numFmtId="0" fontId="17" fillId="0" borderId="6" xfId="7" applyFont="1" applyBorder="1" applyAlignment="1">
      <alignment horizontal="center" vertical="center"/>
    </xf>
    <xf numFmtId="169" fontId="4" fillId="0" borderId="4" xfId="7" applyNumberFormat="1" applyFont="1" applyBorder="1"/>
    <xf numFmtId="169" fontId="4" fillId="0" borderId="5" xfId="7" applyNumberFormat="1" applyFont="1" applyBorder="1"/>
    <xf numFmtId="0" fontId="7" fillId="0" borderId="0" xfId="7" applyFont="1" applyAlignment="1">
      <alignment horizontal="center"/>
    </xf>
    <xf numFmtId="169" fontId="4" fillId="0" borderId="0" xfId="7" applyNumberFormat="1" applyFont="1" applyAlignment="1">
      <alignment horizontal="center" vertical="center"/>
    </xf>
    <xf numFmtId="0" fontId="21" fillId="0" borderId="9" xfId="7" applyFont="1" applyBorder="1"/>
    <xf numFmtId="0" fontId="21" fillId="0" borderId="12" xfId="7" applyFont="1" applyBorder="1"/>
    <xf numFmtId="0" fontId="23" fillId="0" borderId="0" xfId="0" applyFont="1"/>
    <xf numFmtId="0" fontId="26" fillId="0" borderId="0" xfId="0" applyFont="1"/>
    <xf numFmtId="0" fontId="28" fillId="0" borderId="0" xfId="0" applyFont="1"/>
    <xf numFmtId="0" fontId="0" fillId="0" borderId="23" xfId="0" applyBorder="1"/>
    <xf numFmtId="0" fontId="0" fillId="0" borderId="16" xfId="0" applyBorder="1"/>
    <xf numFmtId="0" fontId="0" fillId="0" borderId="17" xfId="0" applyBorder="1"/>
    <xf numFmtId="0" fontId="0" fillId="0" borderId="15" xfId="0" applyBorder="1"/>
    <xf numFmtId="0" fontId="2" fillId="0" borderId="0" xfId="0" applyFont="1"/>
    <xf numFmtId="0" fontId="27" fillId="0" borderId="0" xfId="0" applyFont="1"/>
    <xf numFmtId="0" fontId="31" fillId="0" borderId="0" xfId="0" applyFont="1" applyAlignment="1">
      <alignment horizontal="center" vertical="center"/>
    </xf>
    <xf numFmtId="0" fontId="25" fillId="0" borderId="0" xfId="0" applyFont="1" applyAlignment="1">
      <alignment horizontal="center" vertical="center"/>
    </xf>
    <xf numFmtId="0" fontId="25" fillId="0" borderId="30" xfId="0" applyFont="1" applyBorder="1" applyAlignment="1">
      <alignment horizontal="center" vertical="center"/>
    </xf>
    <xf numFmtId="0" fontId="25" fillId="0" borderId="32" xfId="0" applyFont="1" applyBorder="1" applyAlignment="1">
      <alignment horizontal="center" vertical="center"/>
    </xf>
    <xf numFmtId="0" fontId="30" fillId="0" borderId="0" xfId="0" applyFont="1" applyAlignment="1">
      <alignment horizontal="center" vertical="center"/>
    </xf>
    <xf numFmtId="0" fontId="25" fillId="10" borderId="34" xfId="0" applyFont="1" applyFill="1" applyBorder="1" applyAlignment="1">
      <alignment horizontal="center" vertical="center"/>
    </xf>
    <xf numFmtId="0" fontId="25" fillId="10" borderId="35" xfId="0" applyFont="1" applyFill="1" applyBorder="1" applyAlignment="1">
      <alignment horizontal="center" vertical="center"/>
    </xf>
    <xf numFmtId="0" fontId="0" fillId="0" borderId="10" xfId="0" applyBorder="1"/>
    <xf numFmtId="0" fontId="0" fillId="0" borderId="30" xfId="0" applyBorder="1"/>
    <xf numFmtId="0" fontId="0" fillId="0" borderId="4" xfId="0" applyBorder="1"/>
    <xf numFmtId="0" fontId="0" fillId="0" borderId="32" xfId="0" applyBorder="1"/>
    <xf numFmtId="0" fontId="0" fillId="0" borderId="27" xfId="0" applyBorder="1"/>
    <xf numFmtId="0" fontId="0" fillId="0" borderId="28" xfId="0" applyBorder="1"/>
    <xf numFmtId="0" fontId="0" fillId="0" borderId="31" xfId="0" applyBorder="1"/>
    <xf numFmtId="0" fontId="0" fillId="0" borderId="33" xfId="0" applyBorder="1"/>
    <xf numFmtId="0" fontId="7" fillId="9" borderId="12" xfId="7" applyFont="1" applyFill="1" applyBorder="1" applyAlignment="1">
      <alignment horizontal="center" vertical="center"/>
    </xf>
    <xf numFmtId="0" fontId="13" fillId="0" borderId="0" xfId="7" applyFont="1"/>
    <xf numFmtId="0" fontId="7" fillId="0" borderId="0" xfId="7" applyFont="1" applyAlignment="1">
      <alignment horizontal="center" vertical="center"/>
    </xf>
    <xf numFmtId="0" fontId="25" fillId="10" borderId="36" xfId="0" applyFont="1" applyFill="1" applyBorder="1" applyAlignment="1">
      <alignment horizontal="center" vertical="center"/>
    </xf>
    <xf numFmtId="0" fontId="29" fillId="0" borderId="14" xfId="0" applyFont="1" applyBorder="1" applyAlignment="1">
      <alignment horizontal="center" vertical="center"/>
    </xf>
    <xf numFmtId="0" fontId="29" fillId="0" borderId="16" xfId="0" applyFont="1" applyBorder="1" applyAlignment="1">
      <alignment horizontal="center" vertical="center"/>
    </xf>
    <xf numFmtId="0" fontId="29" fillId="0" borderId="15" xfId="0" applyFont="1" applyBorder="1" applyAlignment="1">
      <alignment horizontal="center" vertical="center"/>
    </xf>
    <xf numFmtId="0" fontId="25" fillId="0" borderId="38" xfId="0" applyFont="1" applyBorder="1" applyAlignment="1">
      <alignment horizontal="center" vertical="center"/>
    </xf>
    <xf numFmtId="11" fontId="2" fillId="0" borderId="0" xfId="0" applyNumberFormat="1" applyFont="1"/>
    <xf numFmtId="0" fontId="24" fillId="0" borderId="0" xfId="0" applyFont="1"/>
    <xf numFmtId="0" fontId="24" fillId="0" borderId="0" xfId="0" applyFont="1" applyAlignment="1">
      <alignment horizontal="center"/>
    </xf>
    <xf numFmtId="0" fontId="0" fillId="11" borderId="39" xfId="10" applyFont="1" applyAlignment="1">
      <alignment horizontal="center"/>
    </xf>
    <xf numFmtId="11" fontId="37" fillId="0" borderId="22" xfId="11" applyNumberFormat="1" applyBorder="1" applyAlignment="1">
      <alignment horizontal="center" vertical="center"/>
    </xf>
    <xf numFmtId="2" fontId="37" fillId="0" borderId="22" xfId="11" applyNumberFormat="1" applyBorder="1" applyAlignment="1">
      <alignment horizontal="center" vertical="center"/>
    </xf>
    <xf numFmtId="0" fontId="2" fillId="11" borderId="40" xfId="10" applyFont="1" applyBorder="1" applyAlignment="1">
      <alignment horizontal="center" vertical="center"/>
    </xf>
    <xf numFmtId="0" fontId="0" fillId="11" borderId="41" xfId="10" applyFont="1" applyBorder="1" applyAlignment="1">
      <alignment horizontal="center"/>
    </xf>
    <xf numFmtId="0" fontId="2" fillId="11" borderId="41" xfId="10" applyFont="1" applyBorder="1" applyAlignment="1">
      <alignment horizontal="center" vertical="center"/>
    </xf>
    <xf numFmtId="11" fontId="2" fillId="11" borderId="39" xfId="10" applyNumberFormat="1" applyFont="1" applyBorder="1" applyAlignment="1">
      <alignment horizontal="center" vertical="center"/>
    </xf>
    <xf numFmtId="11" fontId="0" fillId="11" borderId="42" xfId="10" applyNumberFormat="1" applyFont="1" applyBorder="1" applyAlignment="1">
      <alignment horizontal="center" vertical="center"/>
    </xf>
    <xf numFmtId="0" fontId="2" fillId="11" borderId="43" xfId="10" applyFont="1" applyBorder="1" applyAlignment="1">
      <alignment horizontal="center" vertical="center"/>
    </xf>
    <xf numFmtId="0" fontId="2" fillId="11" borderId="39" xfId="10" applyNumberFormat="1" applyFont="1" applyBorder="1" applyAlignment="1">
      <alignment horizontal="center" vertical="center"/>
    </xf>
    <xf numFmtId="0" fontId="25" fillId="10" borderId="45" xfId="0" applyFont="1" applyFill="1" applyBorder="1" applyAlignment="1">
      <alignment horizontal="center" vertical="center"/>
    </xf>
    <xf numFmtId="0" fontId="25" fillId="10" borderId="49" xfId="0" applyFont="1" applyFill="1" applyBorder="1" applyAlignment="1">
      <alignment horizontal="center" vertical="center"/>
    </xf>
    <xf numFmtId="0" fontId="2" fillId="11" borderId="50" xfId="10" applyFont="1" applyBorder="1" applyAlignment="1">
      <alignment horizontal="center" vertical="center"/>
    </xf>
    <xf numFmtId="0" fontId="37" fillId="0" borderId="0" xfId="11" applyBorder="1" applyAlignment="1">
      <alignment wrapText="1"/>
    </xf>
    <xf numFmtId="0" fontId="37" fillId="0" borderId="17" xfId="11" applyBorder="1" applyAlignment="1">
      <alignment wrapText="1"/>
    </xf>
    <xf numFmtId="0" fontId="37" fillId="0" borderId="23" xfId="11" applyBorder="1" applyAlignment="1">
      <alignment wrapText="1"/>
    </xf>
    <xf numFmtId="0" fontId="37" fillId="0" borderId="44" xfId="11" applyBorder="1" applyAlignment="1">
      <alignment wrapText="1"/>
    </xf>
    <xf numFmtId="0" fontId="37" fillId="0" borderId="0" xfId="11" applyAlignment="1">
      <alignment wrapText="1"/>
    </xf>
    <xf numFmtId="0" fontId="37" fillId="0" borderId="48" xfId="11" applyBorder="1" applyAlignment="1">
      <alignment wrapText="1"/>
    </xf>
    <xf numFmtId="0" fontId="37" fillId="0" borderId="0" xfId="11" applyFill="1" applyBorder="1" applyAlignment="1">
      <alignment wrapText="1"/>
    </xf>
    <xf numFmtId="0" fontId="37" fillId="0" borderId="17" xfId="11" applyFill="1" applyBorder="1" applyAlignment="1">
      <alignment wrapText="1"/>
    </xf>
    <xf numFmtId="11" fontId="2" fillId="11" borderId="41" xfId="10" applyNumberFormat="1" applyFont="1" applyBorder="1" applyAlignment="1">
      <alignment horizontal="center" vertical="center"/>
    </xf>
    <xf numFmtId="9" fontId="2" fillId="11" borderId="41" xfId="8" applyFont="1" applyFill="1" applyBorder="1" applyAlignment="1">
      <alignment horizontal="center" vertical="center"/>
    </xf>
    <xf numFmtId="9" fontId="2" fillId="11" borderId="40" xfId="8" applyFont="1" applyFill="1" applyBorder="1" applyAlignment="1">
      <alignment horizontal="center" vertical="center"/>
    </xf>
    <xf numFmtId="11" fontId="0" fillId="11" borderId="41" xfId="10" applyNumberFormat="1" applyFont="1" applyBorder="1" applyAlignment="1">
      <alignment horizontal="center"/>
    </xf>
    <xf numFmtId="0" fontId="0" fillId="11" borderId="41" xfId="10" applyFont="1" applyBorder="1" applyAlignment="1">
      <alignment horizontal="center" vertical="center"/>
    </xf>
    <xf numFmtId="0" fontId="37" fillId="0" borderId="4" xfId="11" applyBorder="1" applyAlignment="1">
      <alignment wrapText="1"/>
    </xf>
    <xf numFmtId="0" fontId="29" fillId="0" borderId="15" xfId="0" applyFont="1" applyFill="1" applyBorder="1" applyAlignment="1">
      <alignment horizontal="center" vertical="center"/>
    </xf>
    <xf numFmtId="0" fontId="29" fillId="0" borderId="47" xfId="0" applyFont="1" applyFill="1" applyBorder="1" applyAlignment="1">
      <alignment horizontal="center" vertical="center"/>
    </xf>
    <xf numFmtId="0" fontId="29" fillId="0" borderId="32" xfId="0" applyFont="1" applyBorder="1" applyAlignment="1">
      <alignment horizontal="center" vertical="center"/>
    </xf>
    <xf numFmtId="0" fontId="29" fillId="0" borderId="14" xfId="0" applyFont="1" applyFill="1" applyBorder="1" applyAlignment="1">
      <alignment horizontal="center" vertical="center"/>
    </xf>
    <xf numFmtId="11" fontId="37" fillId="0" borderId="0" xfId="11" applyNumberFormat="1" applyAlignment="1">
      <alignment horizontal="center" vertical="center"/>
    </xf>
    <xf numFmtId="11" fontId="0" fillId="11" borderId="51" xfId="10" applyNumberFormat="1" applyFont="1" applyBorder="1" applyAlignment="1">
      <alignment horizontal="center"/>
    </xf>
    <xf numFmtId="0" fontId="37" fillId="0" borderId="0" xfId="11" applyBorder="1" applyAlignment="1">
      <alignment vertical="center" wrapText="1"/>
    </xf>
    <xf numFmtId="11" fontId="0" fillId="11" borderId="41" xfId="10" applyNumberFormat="1" applyFont="1" applyBorder="1" applyAlignment="1">
      <alignment horizontal="center" vertical="center"/>
    </xf>
    <xf numFmtId="0" fontId="0" fillId="11" borderId="41" xfId="10" applyNumberFormat="1" applyFont="1" applyBorder="1" applyAlignment="1">
      <alignment horizontal="center" vertical="center"/>
    </xf>
    <xf numFmtId="0" fontId="0" fillId="11" borderId="39" xfId="10" applyFont="1" applyBorder="1" applyAlignment="1">
      <alignment horizontal="center" vertical="center"/>
    </xf>
    <xf numFmtId="0" fontId="23" fillId="11" borderId="46" xfId="10" applyFont="1" applyBorder="1" applyAlignment="1">
      <alignment vertical="center"/>
    </xf>
    <xf numFmtId="171" fontId="0" fillId="11" borderId="41" xfId="10" applyNumberFormat="1" applyFont="1" applyBorder="1" applyAlignment="1">
      <alignment horizontal="center" vertical="center"/>
    </xf>
    <xf numFmtId="11" fontId="0" fillId="11" borderId="50" xfId="10" applyNumberFormat="1" applyFont="1" applyBorder="1" applyAlignment="1">
      <alignment horizontal="center" vertical="center"/>
    </xf>
    <xf numFmtId="0" fontId="37" fillId="0" borderId="4" xfId="11" applyBorder="1" applyAlignment="1">
      <alignment vertical="center" wrapText="1"/>
    </xf>
    <xf numFmtId="0" fontId="0" fillId="11" borderId="52" xfId="10" applyNumberFormat="1" applyFont="1" applyBorder="1" applyAlignment="1">
      <alignment horizontal="center" vertical="center"/>
    </xf>
    <xf numFmtId="0" fontId="25" fillId="10" borderId="53" xfId="0" applyFont="1" applyFill="1" applyBorder="1" applyAlignment="1">
      <alignment horizontal="center" vertical="center"/>
    </xf>
    <xf numFmtId="0" fontId="0" fillId="11" borderId="54" xfId="10" applyNumberFormat="1" applyFont="1" applyBorder="1" applyAlignment="1">
      <alignment horizontal="center" vertical="center"/>
    </xf>
    <xf numFmtId="0" fontId="29" fillId="0" borderId="30" xfId="0" applyFont="1" applyBorder="1" applyAlignment="1">
      <alignment horizontal="center" vertical="center"/>
    </xf>
    <xf numFmtId="0" fontId="37" fillId="0" borderId="10" xfId="11" applyBorder="1" applyAlignment="1">
      <alignment vertical="center" wrapText="1"/>
    </xf>
    <xf numFmtId="11" fontId="0" fillId="11" borderId="54" xfId="10" applyNumberFormat="1" applyFont="1" applyBorder="1" applyAlignment="1">
      <alignment horizontal="center" vertical="center"/>
    </xf>
    <xf numFmtId="0" fontId="37" fillId="0" borderId="0" xfId="11" applyFill="1" applyBorder="1" applyAlignment="1">
      <alignment vertical="center" wrapText="1"/>
    </xf>
    <xf numFmtId="11" fontId="25" fillId="11" borderId="55" xfId="10" applyNumberFormat="1" applyFont="1" applyBorder="1" applyAlignment="1">
      <alignment horizontal="center" vertical="center"/>
    </xf>
    <xf numFmtId="0" fontId="2" fillId="0" borderId="0" xfId="0" applyFont="1" applyFill="1" applyBorder="1"/>
    <xf numFmtId="0" fontId="23" fillId="0" borderId="0" xfId="0" applyFont="1" applyFill="1" applyBorder="1"/>
    <xf numFmtId="0" fontId="25" fillId="0" borderId="0" xfId="0" applyFont="1" applyFill="1" applyBorder="1" applyAlignment="1">
      <alignment horizontal="center" vertical="center"/>
    </xf>
    <xf numFmtId="11" fontId="2" fillId="0" borderId="0" xfId="0" applyNumberFormat="1" applyFont="1" applyFill="1" applyBorder="1" applyAlignment="1">
      <alignment horizontal="center" vertical="center"/>
    </xf>
    <xf numFmtId="0" fontId="29" fillId="0" borderId="0" xfId="0" applyFont="1" applyFill="1" applyBorder="1" applyAlignment="1">
      <alignment horizontal="center" vertical="center"/>
    </xf>
    <xf numFmtId="0" fontId="25" fillId="10" borderId="56" xfId="0" applyFont="1" applyFill="1" applyBorder="1" applyAlignment="1">
      <alignment horizontal="center" vertical="center"/>
    </xf>
    <xf numFmtId="11" fontId="0" fillId="11" borderId="57" xfId="10" applyNumberFormat="1" applyFont="1" applyBorder="1" applyAlignment="1">
      <alignment horizontal="center" vertical="center"/>
    </xf>
    <xf numFmtId="0" fontId="29" fillId="0" borderId="38" xfId="0" applyFont="1" applyBorder="1" applyAlignment="1">
      <alignment horizontal="center" vertical="center"/>
    </xf>
    <xf numFmtId="0" fontId="37" fillId="0" borderId="0" xfId="11" applyNumberFormat="1" applyAlignment="1">
      <alignment horizontal="center" vertical="center"/>
    </xf>
    <xf numFmtId="170" fontId="0" fillId="11" borderId="39" xfId="10" applyNumberFormat="1" applyFont="1" applyAlignment="1">
      <alignment horizontal="center"/>
    </xf>
    <xf numFmtId="0" fontId="25" fillId="10" borderId="60" xfId="0" applyFont="1" applyFill="1" applyBorder="1" applyAlignment="1">
      <alignment horizontal="center" vertical="center"/>
    </xf>
    <xf numFmtId="11" fontId="2" fillId="11" borderId="39" xfId="10" applyNumberFormat="1" applyFont="1" applyAlignment="1">
      <alignment horizontal="center" vertical="center"/>
    </xf>
    <xf numFmtId="0" fontId="2" fillId="11" borderId="39" xfId="10" applyFont="1" applyAlignment="1">
      <alignment horizontal="center" vertical="center"/>
    </xf>
    <xf numFmtId="11" fontId="0" fillId="11" borderId="39" xfId="10" applyNumberFormat="1" applyFont="1" applyAlignment="1">
      <alignment horizontal="center" vertical="center"/>
    </xf>
    <xf numFmtId="0" fontId="32" fillId="10" borderId="53" xfId="0" applyFont="1" applyFill="1" applyBorder="1" applyAlignment="1">
      <alignment horizontal="center" vertical="center"/>
    </xf>
    <xf numFmtId="0" fontId="32" fillId="10" borderId="36" xfId="0" applyFont="1" applyFill="1" applyBorder="1" applyAlignment="1">
      <alignment horizontal="center" vertical="center"/>
    </xf>
    <xf numFmtId="0" fontId="25" fillId="10" borderId="24" xfId="0" applyFont="1" applyFill="1" applyBorder="1" applyAlignment="1">
      <alignment horizontal="center"/>
    </xf>
    <xf numFmtId="0" fontId="24" fillId="10" borderId="26" xfId="0" applyFont="1" applyFill="1" applyBorder="1" applyAlignment="1">
      <alignment horizontal="center" vertical="center" wrapText="1"/>
    </xf>
    <xf numFmtId="0" fontId="24" fillId="10" borderId="25" xfId="0" applyFont="1" applyFill="1" applyBorder="1" applyAlignment="1">
      <alignment horizontal="center" vertical="center" wrapText="1"/>
    </xf>
    <xf numFmtId="0" fontId="25" fillId="0" borderId="16" xfId="0" applyFont="1" applyBorder="1" applyAlignment="1">
      <alignment horizontal="center" vertical="center"/>
    </xf>
    <xf numFmtId="0" fontId="25" fillId="0" borderId="14" xfId="0" applyFont="1" applyBorder="1" applyAlignment="1">
      <alignment horizontal="center" vertical="center"/>
    </xf>
    <xf numFmtId="0" fontId="24" fillId="10" borderId="26" xfId="0" applyFont="1" applyFill="1" applyBorder="1" applyAlignment="1">
      <alignment horizontal="center" wrapText="1"/>
    </xf>
    <xf numFmtId="0" fontId="24" fillId="10" borderId="25" xfId="0" applyFont="1" applyFill="1" applyBorder="1" applyAlignment="1">
      <alignment horizontal="center" wrapText="1"/>
    </xf>
    <xf numFmtId="0" fontId="25" fillId="11" borderId="63" xfId="10" applyFont="1" applyBorder="1" applyAlignment="1">
      <alignment horizontal="center" vertical="center"/>
    </xf>
    <xf numFmtId="0" fontId="25" fillId="11" borderId="61" xfId="10" applyFont="1" applyBorder="1" applyAlignment="1">
      <alignment horizontal="center" vertical="center"/>
    </xf>
    <xf numFmtId="0" fontId="25" fillId="11" borderId="62" xfId="10" applyFont="1" applyBorder="1" applyAlignment="1">
      <alignment horizontal="center" vertical="center"/>
    </xf>
    <xf numFmtId="2" fontId="2" fillId="11" borderId="39" xfId="10" applyNumberFormat="1" applyFont="1" applyAlignment="1">
      <alignment horizontal="center" vertical="center"/>
    </xf>
    <xf numFmtId="0" fontId="2" fillId="11" borderId="39" xfId="10" applyNumberFormat="1" applyFont="1" applyAlignment="1">
      <alignment horizontal="center" vertical="center"/>
    </xf>
    <xf numFmtId="11" fontId="41" fillId="12" borderId="39" xfId="10" applyNumberFormat="1" applyFont="1" applyFill="1" applyAlignment="1">
      <alignment horizontal="center" vertical="center"/>
    </xf>
    <xf numFmtId="1" fontId="2" fillId="11" borderId="39" xfId="10" applyNumberFormat="1" applyFont="1" applyAlignment="1">
      <alignment horizontal="center" vertical="center"/>
    </xf>
    <xf numFmtId="2" fontId="2" fillId="11" borderId="65" xfId="10" applyNumberFormat="1" applyFont="1" applyBorder="1" applyAlignment="1">
      <alignment horizontal="center" vertical="center"/>
    </xf>
    <xf numFmtId="2" fontId="2" fillId="11" borderId="41" xfId="10" applyNumberFormat="1" applyFont="1" applyBorder="1" applyAlignment="1">
      <alignment horizontal="center" vertical="center"/>
    </xf>
    <xf numFmtId="2" fontId="2" fillId="11" borderId="57" xfId="10" applyNumberFormat="1" applyFont="1" applyBorder="1" applyAlignment="1">
      <alignment horizontal="center" vertical="center"/>
    </xf>
    <xf numFmtId="2" fontId="2" fillId="11" borderId="66" xfId="10" applyNumberFormat="1" applyFont="1" applyBorder="1" applyAlignment="1">
      <alignment horizontal="center" vertical="center"/>
    </xf>
    <xf numFmtId="2" fontId="2" fillId="11" borderId="67" xfId="10" applyNumberFormat="1" applyFont="1" applyBorder="1" applyAlignment="1">
      <alignment horizontal="center" vertical="center"/>
    </xf>
    <xf numFmtId="0" fontId="2" fillId="11" borderId="41" xfId="10" applyNumberFormat="1" applyFont="1" applyBorder="1" applyAlignment="1">
      <alignment horizontal="center" vertical="center"/>
    </xf>
    <xf numFmtId="0" fontId="2" fillId="11" borderId="68" xfId="10" applyNumberFormat="1" applyFont="1" applyBorder="1" applyAlignment="1">
      <alignment horizontal="center" vertical="center"/>
    </xf>
    <xf numFmtId="0" fontId="2" fillId="11" borderId="69" xfId="10" applyNumberFormat="1" applyFont="1" applyBorder="1" applyAlignment="1">
      <alignment horizontal="center" vertical="center"/>
    </xf>
    <xf numFmtId="0" fontId="2" fillId="11" borderId="67" xfId="10" applyNumberFormat="1" applyFont="1" applyBorder="1" applyAlignment="1">
      <alignment horizontal="center" vertical="center"/>
    </xf>
    <xf numFmtId="0" fontId="2" fillId="11" borderId="57" xfId="10" applyNumberFormat="1" applyFont="1" applyBorder="1" applyAlignment="1">
      <alignment horizontal="center" vertical="center"/>
    </xf>
    <xf numFmtId="1" fontId="2" fillId="11" borderId="41" xfId="10" applyNumberFormat="1" applyFont="1" applyBorder="1" applyAlignment="1">
      <alignment horizontal="center" vertical="center"/>
    </xf>
    <xf numFmtId="1" fontId="2" fillId="11" borderId="68" xfId="10" applyNumberFormat="1" applyFont="1" applyBorder="1" applyAlignment="1">
      <alignment horizontal="center" vertical="center"/>
    </xf>
    <xf numFmtId="1" fontId="2" fillId="11" borderId="69" xfId="10" applyNumberFormat="1" applyFont="1" applyBorder="1" applyAlignment="1">
      <alignment horizontal="center" vertical="center"/>
    </xf>
    <xf numFmtId="1" fontId="2" fillId="11" borderId="67" xfId="10" applyNumberFormat="1" applyFont="1" applyBorder="1" applyAlignment="1">
      <alignment horizontal="center" vertical="center"/>
    </xf>
    <xf numFmtId="1" fontId="2" fillId="11" borderId="57" xfId="10" applyNumberFormat="1" applyFont="1" applyBorder="1" applyAlignment="1">
      <alignment horizontal="center" vertical="center"/>
    </xf>
    <xf numFmtId="1" fontId="2" fillId="11" borderId="70" xfId="10" applyNumberFormat="1" applyFont="1" applyBorder="1" applyAlignment="1">
      <alignment horizontal="center" vertical="center"/>
    </xf>
    <xf numFmtId="1" fontId="2" fillId="11" borderId="50" xfId="10" applyNumberFormat="1" applyFont="1" applyBorder="1" applyAlignment="1">
      <alignment horizontal="center" vertical="center"/>
    </xf>
    <xf numFmtId="0" fontId="2" fillId="11" borderId="70" xfId="10" applyNumberFormat="1" applyFont="1" applyBorder="1" applyAlignment="1">
      <alignment horizontal="center" vertical="center"/>
    </xf>
    <xf numFmtId="0" fontId="2" fillId="11" borderId="50" xfId="10" applyNumberFormat="1" applyFont="1" applyBorder="1" applyAlignment="1">
      <alignment horizontal="center" vertical="center"/>
    </xf>
    <xf numFmtId="0" fontId="41" fillId="12" borderId="69" xfId="10" applyFont="1" applyFill="1" applyBorder="1" applyAlignment="1">
      <alignment horizontal="center" vertical="center"/>
    </xf>
    <xf numFmtId="11" fontId="41" fillId="12" borderId="69" xfId="10" applyNumberFormat="1" applyFont="1" applyFill="1" applyBorder="1" applyAlignment="1">
      <alignment horizontal="center" vertical="center"/>
    </xf>
    <xf numFmtId="0" fontId="25" fillId="11" borderId="71" xfId="10" applyFont="1" applyBorder="1" applyAlignment="1">
      <alignment horizontal="center" vertical="center"/>
    </xf>
    <xf numFmtId="0" fontId="25" fillId="11" borderId="37" xfId="10" applyFont="1" applyBorder="1" applyAlignment="1">
      <alignment horizontal="center" vertical="center"/>
    </xf>
    <xf numFmtId="0" fontId="32" fillId="10" borderId="29" xfId="0" applyFont="1" applyFill="1" applyBorder="1" applyAlignment="1">
      <alignment horizontal="center" vertical="center"/>
    </xf>
    <xf numFmtId="0" fontId="25" fillId="2" borderId="72" xfId="0" applyFont="1" applyFill="1" applyBorder="1" applyAlignment="1">
      <alignment horizontal="center" vertical="center"/>
    </xf>
    <xf numFmtId="0" fontId="25" fillId="2" borderId="58" xfId="0" applyFont="1" applyFill="1" applyBorder="1" applyAlignment="1">
      <alignment horizontal="center" vertical="center"/>
    </xf>
    <xf numFmtId="0" fontId="25" fillId="2" borderId="73" xfId="0" applyFont="1" applyFill="1" applyBorder="1" applyAlignment="1">
      <alignment horizontal="center" vertical="center"/>
    </xf>
    <xf numFmtId="0" fontId="2" fillId="11" borderId="65" xfId="10" applyFont="1" applyBorder="1" applyAlignment="1">
      <alignment horizontal="center" vertical="center"/>
    </xf>
    <xf numFmtId="0" fontId="2" fillId="11" borderId="67" xfId="10" applyFont="1" applyBorder="1" applyAlignment="1">
      <alignment horizontal="center" vertical="center"/>
    </xf>
    <xf numFmtId="0" fontId="2" fillId="11" borderId="57" xfId="10" applyFont="1" applyBorder="1" applyAlignment="1">
      <alignment horizontal="center" vertical="center"/>
    </xf>
    <xf numFmtId="0" fontId="2" fillId="11" borderId="74" xfId="10" applyFont="1" applyBorder="1" applyAlignment="1">
      <alignment horizontal="center" vertical="center"/>
    </xf>
    <xf numFmtId="0" fontId="2" fillId="11" borderId="75" xfId="10" applyFont="1" applyBorder="1" applyAlignment="1">
      <alignment horizontal="center" vertical="center"/>
    </xf>
    <xf numFmtId="0" fontId="2" fillId="11" borderId="76" xfId="10" applyFont="1" applyBorder="1" applyAlignment="1">
      <alignment horizontal="center" vertical="center"/>
    </xf>
    <xf numFmtId="0" fontId="2" fillId="11" borderId="39" xfId="10" applyFont="1" applyBorder="1" applyAlignment="1">
      <alignment horizontal="center" vertical="center"/>
    </xf>
    <xf numFmtId="0" fontId="2" fillId="11" borderId="77" xfId="10" applyFont="1" applyBorder="1" applyAlignment="1">
      <alignment horizontal="center" vertical="center"/>
    </xf>
    <xf numFmtId="0" fontId="2" fillId="11" borderId="78" xfId="10" applyFont="1" applyBorder="1" applyAlignment="1">
      <alignment horizontal="center" vertical="center"/>
    </xf>
    <xf numFmtId="0" fontId="2" fillId="11" borderId="79" xfId="10" applyFont="1" applyBorder="1" applyAlignment="1">
      <alignment horizontal="center" vertical="center"/>
    </xf>
    <xf numFmtId="0" fontId="2" fillId="11" borderId="66" xfId="10" applyFont="1" applyBorder="1" applyAlignment="1">
      <alignment horizontal="center" vertical="center"/>
    </xf>
    <xf numFmtId="0" fontId="2" fillId="11" borderId="80" xfId="10" applyFont="1" applyBorder="1" applyAlignment="1">
      <alignment horizontal="center" vertical="center"/>
    </xf>
    <xf numFmtId="0" fontId="2" fillId="11" borderId="81" xfId="10" applyFont="1" applyBorder="1" applyAlignment="1">
      <alignment horizontal="center" vertical="center"/>
    </xf>
    <xf numFmtId="0" fontId="2" fillId="11" borderId="42" xfId="10" applyFont="1" applyBorder="1" applyAlignment="1">
      <alignment horizontal="center" vertical="center"/>
    </xf>
    <xf numFmtId="0" fontId="2" fillId="11" borderId="82" xfId="10" applyFont="1" applyBorder="1" applyAlignment="1">
      <alignment horizontal="center" vertical="center"/>
    </xf>
    <xf numFmtId="0" fontId="4" fillId="3" borderId="12" xfId="7" applyFont="1" applyFill="1" applyBorder="1" applyAlignment="1">
      <alignment horizontal="center" vertical="center"/>
    </xf>
    <xf numFmtId="0" fontId="15" fillId="0" borderId="13" xfId="7" applyFont="1" applyBorder="1" applyAlignment="1">
      <alignment horizontal="center" vertical="center" textRotation="180" wrapText="1"/>
    </xf>
    <xf numFmtId="0" fontId="15" fillId="0" borderId="2" xfId="7" applyFont="1" applyBorder="1" applyAlignment="1">
      <alignment horizontal="center" vertical="center" textRotation="180" wrapText="1"/>
    </xf>
    <xf numFmtId="0" fontId="15" fillId="0" borderId="6" xfId="7" applyFont="1" applyBorder="1" applyAlignment="1">
      <alignment horizontal="center" vertical="center" textRotation="180" wrapText="1"/>
    </xf>
    <xf numFmtId="0" fontId="15" fillId="0" borderId="13" xfId="7" applyFont="1" applyBorder="1" applyAlignment="1">
      <alignment horizontal="center" textRotation="180"/>
    </xf>
    <xf numFmtId="0" fontId="15" fillId="0" borderId="2" xfId="7" applyFont="1" applyBorder="1" applyAlignment="1">
      <alignment horizontal="center" textRotation="180"/>
    </xf>
    <xf numFmtId="0" fontId="15" fillId="0" borderId="6" xfId="7" applyFont="1" applyBorder="1" applyAlignment="1">
      <alignment horizontal="center" textRotation="180"/>
    </xf>
    <xf numFmtId="0" fontId="16" fillId="0" borderId="8" xfId="7" applyFont="1" applyBorder="1" applyAlignment="1">
      <alignment horizontal="center"/>
    </xf>
    <xf numFmtId="0" fontId="16" fillId="0" borderId="18" xfId="7" applyFont="1" applyBorder="1" applyAlignment="1">
      <alignment horizontal="center"/>
    </xf>
    <xf numFmtId="0" fontId="16" fillId="0" borderId="9" xfId="7" applyFont="1" applyBorder="1" applyAlignment="1">
      <alignment horizontal="center"/>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7" xfId="0" applyFont="1" applyBorder="1" applyAlignment="1">
      <alignment horizontal="center" vertical="center" wrapText="1"/>
    </xf>
    <xf numFmtId="0" fontId="36" fillId="0" borderId="0" xfId="9" applyFill="1" applyBorder="1" applyAlignment="1">
      <alignment horizontal="center" vertical="center" wrapText="1"/>
    </xf>
    <xf numFmtId="0" fontId="36" fillId="0" borderId="17" xfId="9" applyFill="1" applyBorder="1" applyAlignment="1">
      <alignment horizontal="center" vertical="center" wrapText="1"/>
    </xf>
    <xf numFmtId="0" fontId="37" fillId="0" borderId="0" xfId="11" applyBorder="1" applyAlignment="1">
      <alignment horizontal="center" vertical="center" wrapText="1"/>
    </xf>
    <xf numFmtId="0" fontId="37" fillId="0" borderId="22" xfId="11" applyBorder="1" applyAlignment="1">
      <alignment horizontal="center" vertical="center" wrapText="1"/>
    </xf>
    <xf numFmtId="0" fontId="25" fillId="10" borderId="64" xfId="0" applyFont="1" applyFill="1" applyBorder="1" applyAlignment="1">
      <alignment horizontal="center"/>
    </xf>
    <xf numFmtId="0" fontId="25" fillId="10" borderId="59" xfId="0" applyFont="1" applyFill="1" applyBorder="1" applyAlignment="1">
      <alignment horizontal="center"/>
    </xf>
    <xf numFmtId="0" fontId="25" fillId="10" borderId="25" xfId="0" applyFont="1" applyFill="1" applyBorder="1" applyAlignment="1">
      <alignment horizontal="center"/>
    </xf>
    <xf numFmtId="0" fontId="37" fillId="0" borderId="0" xfId="11" applyAlignment="1">
      <alignment horizontal="center" vertical="center" wrapText="1"/>
    </xf>
    <xf numFmtId="0" fontId="24" fillId="10" borderId="18" xfId="0" applyFont="1" applyFill="1" applyBorder="1" applyAlignment="1">
      <alignment horizontal="center"/>
    </xf>
    <xf numFmtId="0" fontId="24" fillId="10" borderId="9" xfId="0" applyFont="1" applyFill="1" applyBorder="1" applyAlignment="1">
      <alignment horizontal="center"/>
    </xf>
    <xf numFmtId="0" fontId="24" fillId="10" borderId="8" xfId="0" applyFont="1" applyFill="1" applyBorder="1" applyAlignment="1">
      <alignment horizontal="center"/>
    </xf>
    <xf numFmtId="0" fontId="0" fillId="0" borderId="0" xfId="0" applyFill="1"/>
    <xf numFmtId="0" fontId="37" fillId="0" borderId="0" xfId="11" applyAlignment="1">
      <alignment vertical="center" wrapText="1"/>
    </xf>
    <xf numFmtId="0" fontId="0" fillId="11" borderId="50" xfId="10" applyFont="1" applyBorder="1" applyAlignment="1">
      <alignment horizontal="center" vertical="center"/>
    </xf>
    <xf numFmtId="0" fontId="25" fillId="10" borderId="35" xfId="0" applyFont="1" applyFill="1" applyBorder="1" applyAlignment="1">
      <alignment horizontal="center" vertical="center" wrapText="1"/>
    </xf>
    <xf numFmtId="2" fontId="37" fillId="0" borderId="35" xfId="11" applyNumberFormat="1" applyBorder="1" applyAlignment="1">
      <alignment horizontal="center" vertical="center" wrapText="1"/>
    </xf>
    <xf numFmtId="0" fontId="29" fillId="0" borderId="35" xfId="0" applyFont="1" applyBorder="1" applyAlignment="1">
      <alignment horizontal="center" vertical="center" wrapText="1"/>
    </xf>
    <xf numFmtId="11" fontId="41" fillId="12" borderId="35" xfId="10" applyNumberFormat="1" applyFont="1" applyFill="1" applyBorder="1" applyAlignment="1">
      <alignment horizontal="center" vertical="center" wrapText="1"/>
    </xf>
    <xf numFmtId="11" fontId="0" fillId="11" borderId="36" xfId="10" applyNumberFormat="1" applyFont="1" applyBorder="1" applyAlignment="1">
      <alignment horizontal="center" vertical="center" wrapText="1"/>
    </xf>
    <xf numFmtId="0" fontId="0" fillId="11" borderId="34" xfId="10" applyFont="1" applyBorder="1" applyAlignment="1">
      <alignment horizontal="center" vertical="center" wrapText="1"/>
    </xf>
    <xf numFmtId="0" fontId="0" fillId="0" borderId="0" xfId="0" applyAlignment="1">
      <alignment wrapText="1"/>
    </xf>
    <xf numFmtId="0" fontId="42" fillId="0" borderId="0" xfId="0" applyFont="1"/>
    <xf numFmtId="0" fontId="2" fillId="0" borderId="0" xfId="0" applyFont="1" applyAlignment="1">
      <alignment wrapText="1"/>
    </xf>
    <xf numFmtId="0" fontId="0" fillId="11" borderId="50" xfId="10" applyNumberFormat="1" applyFont="1" applyBorder="1" applyAlignment="1">
      <alignment horizontal="center" vertical="center"/>
    </xf>
    <xf numFmtId="1" fontId="37" fillId="0" borderId="22" xfId="11" applyNumberFormat="1" applyBorder="1" applyAlignment="1">
      <alignment horizontal="center" vertical="center"/>
    </xf>
    <xf numFmtId="0" fontId="29" fillId="0" borderId="32" xfId="0" applyFont="1" applyFill="1" applyBorder="1" applyAlignment="1">
      <alignment horizontal="center" vertical="center"/>
    </xf>
    <xf numFmtId="0" fontId="37" fillId="0" borderId="4" xfId="11" applyFill="1" applyBorder="1" applyAlignment="1">
      <alignment vertical="center" wrapText="1"/>
    </xf>
  </cellXfs>
  <cellStyles count="12">
    <cellStyle name="Euro" xfId="1" xr:uid="{00000000-0005-0000-0000-000000000000}"/>
    <cellStyle name="Explanatory Text" xfId="11" builtinId="53"/>
    <cellStyle name="Milliers [0]_Nitrification model" xfId="2" xr:uid="{00000000-0005-0000-0000-000001000000}"/>
    <cellStyle name="Milliers_Nitrification model" xfId="3" xr:uid="{00000000-0005-0000-0000-000002000000}"/>
    <cellStyle name="Monétaire [0]_Nitrification model" xfId="4" xr:uid="{00000000-0005-0000-0000-000003000000}"/>
    <cellStyle name="Monétaire_Nitrification model" xfId="5" xr:uid="{00000000-0005-0000-0000-000004000000}"/>
    <cellStyle name="Normal" xfId="0" builtinId="0"/>
    <cellStyle name="Normal 2" xfId="6" xr:uid="{00000000-0005-0000-0000-000006000000}"/>
    <cellStyle name="Normal 3" xfId="7" xr:uid="{00000000-0005-0000-0000-000007000000}"/>
    <cellStyle name="Note" xfId="10" builtinId="10"/>
    <cellStyle name="Percent" xfId="8" builtinId="5"/>
    <cellStyle name="Warning Text" xfId="9" builtinId="11"/>
  </cellStyles>
  <dxfs count="107">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b val="0"/>
        <i/>
        <color theme="1" tint="0.34998626667073579"/>
      </font>
    </dxf>
    <dxf>
      <font>
        <b val="0"/>
        <i/>
        <color theme="1" tint="0.34998626667073579"/>
      </font>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strike val="0"/>
        <color theme="0" tint="-0.24994659260841701"/>
      </font>
      <fill>
        <patternFill>
          <bgColor theme="0" tint="-4.9989318521683403E-2"/>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fill>
        <patternFill>
          <bgColor theme="0" tint="-4.9989318521683403E-2"/>
        </patternFill>
      </fill>
    </dxf>
    <dxf>
      <font>
        <color theme="0" tint="-0.24994659260841701"/>
      </font>
      <fill>
        <patternFill>
          <bgColor theme="0" tint="-4.9989318521683403E-2"/>
        </patternFill>
      </fill>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Eloi Martínez-Rabert (PGR)" id="{5CC223E8-22CF-48C3-ABCE-0A00391E726E}" userId="S::2424069M@student.gla.ac.uk::cb616271-4a7a-48f5-8972-853218eda00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5" dT="2021-05-06T16:02:09.77" personId="{5CC223E8-22CF-48C3-ABCE-0A00391E726E}" id="{FAFA8C7C-6800-4018-947D-B9F524B630BA}">
    <text>From [Strous1998]</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6838C-F568-417D-8029-DEFF7E533FF8}">
  <dimension ref="A1:C17"/>
  <sheetViews>
    <sheetView workbookViewId="0">
      <selection activeCell="C10" sqref="C10"/>
    </sheetView>
  </sheetViews>
  <sheetFormatPr defaultRowHeight="13.2" x14ac:dyDescent="0.25"/>
  <cols>
    <col min="1" max="1" width="44.44140625" customWidth="1"/>
    <col min="2" max="2" width="33.88671875" customWidth="1"/>
    <col min="3" max="3" width="45" customWidth="1"/>
  </cols>
  <sheetData>
    <row r="1" spans="1:3" x14ac:dyDescent="0.25">
      <c r="A1" s="96" t="s">
        <v>112</v>
      </c>
      <c r="B1" s="96" t="s">
        <v>110</v>
      </c>
      <c r="C1" s="96" t="s">
        <v>111</v>
      </c>
    </row>
    <row r="2" spans="1:3" x14ac:dyDescent="0.25">
      <c r="A2" s="95" t="s">
        <v>119</v>
      </c>
      <c r="B2" s="69" t="s">
        <v>114</v>
      </c>
      <c r="C2" s="69" t="s">
        <v>115</v>
      </c>
    </row>
    <row r="3" spans="1:3" x14ac:dyDescent="0.25">
      <c r="B3" s="69" t="s">
        <v>117</v>
      </c>
    </row>
    <row r="4" spans="1:3" x14ac:dyDescent="0.25">
      <c r="B4" s="69" t="s">
        <v>116</v>
      </c>
    </row>
    <row r="9" spans="1:3" ht="21" x14ac:dyDescent="0.4">
      <c r="A9" s="254" t="s">
        <v>269</v>
      </c>
    </row>
    <row r="10" spans="1:3" ht="52.8" x14ac:dyDescent="0.25">
      <c r="A10" s="255" t="s">
        <v>270</v>
      </c>
    </row>
    <row r="11" spans="1:3" ht="27" thickBot="1" x14ac:dyDescent="0.3">
      <c r="A11" s="253" t="s">
        <v>271</v>
      </c>
    </row>
    <row r="12" spans="1:3" x14ac:dyDescent="0.25">
      <c r="A12" s="252" t="s">
        <v>275</v>
      </c>
    </row>
    <row r="13" spans="1:3" ht="28.8" x14ac:dyDescent="0.25">
      <c r="A13" s="248" t="s">
        <v>272</v>
      </c>
    </row>
    <row r="14" spans="1:3" ht="26.4" x14ac:dyDescent="0.25">
      <c r="A14" s="247" t="s">
        <v>273</v>
      </c>
    </row>
    <row r="15" spans="1:3" ht="52.8" x14ac:dyDescent="0.25">
      <c r="A15" s="249" t="s">
        <v>277</v>
      </c>
    </row>
    <row r="16" spans="1:3" ht="52.8" x14ac:dyDescent="0.25">
      <c r="A16" s="250" t="s">
        <v>274</v>
      </c>
    </row>
    <row r="17" spans="1:1" ht="40.200000000000003" thickBot="1" x14ac:dyDescent="0.3">
      <c r="A17" s="251" t="s">
        <v>276</v>
      </c>
    </row>
  </sheetData>
  <conditionalFormatting sqref="A15">
    <cfRule type="expression" dxfId="106" priority="6">
      <formula>$B$2 = FALSE</formula>
    </cfRule>
  </conditionalFormatting>
  <conditionalFormatting sqref="A16">
    <cfRule type="containsText" dxfId="105" priority="4" operator="containsText" text="NA">
      <formula>NOT(ISERROR(SEARCH("NA",A16)))</formula>
    </cfRule>
    <cfRule type="containsText" dxfId="104" priority="5" operator="containsText" text="Inf">
      <formula>NOT(ISERROR(SEARCH("Inf",A16)))</formula>
    </cfRule>
  </conditionalFormatting>
  <conditionalFormatting sqref="A16">
    <cfRule type="cellIs" dxfId="103" priority="3" operator="equal">
      <formula>0</formula>
    </cfRule>
  </conditionalFormatting>
  <conditionalFormatting sqref="A17">
    <cfRule type="expression" dxfId="101" priority="1">
      <formula>$B$11&lt;&gt;"naive"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0"/>
  <sheetViews>
    <sheetView workbookViewId="0">
      <selection activeCell="B2" sqref="B2"/>
    </sheetView>
  </sheetViews>
  <sheetFormatPr defaultColWidth="11.44140625" defaultRowHeight="13.2" x14ac:dyDescent="0.25"/>
  <cols>
    <col min="1" max="2" width="11.44140625" style="62"/>
    <col min="3" max="3" width="7.5546875" style="62" customWidth="1"/>
    <col min="4" max="4" width="75.44140625" style="62" customWidth="1"/>
    <col min="5" max="6" width="11.44140625" style="62"/>
    <col min="7" max="7" width="12" style="62" bestFit="1" customWidth="1"/>
    <col min="8" max="16384" width="11.44140625" style="62"/>
  </cols>
  <sheetData>
    <row r="1" spans="1:10" ht="15" customHeight="1" x14ac:dyDescent="0.25">
      <c r="A1" s="77" t="s">
        <v>74</v>
      </c>
      <c r="B1" s="131">
        <v>1E-10</v>
      </c>
      <c r="C1" s="90" t="s">
        <v>87</v>
      </c>
      <c r="D1" s="236" t="s">
        <v>234</v>
      </c>
      <c r="E1" s="69"/>
      <c r="F1" s="69"/>
      <c r="G1" s="69"/>
    </row>
    <row r="2" spans="1:10" ht="15" customHeight="1" x14ac:dyDescent="0.25">
      <c r="A2" s="77" t="s">
        <v>75</v>
      </c>
      <c r="B2" s="131">
        <v>1E-10</v>
      </c>
      <c r="C2" s="90" t="s">
        <v>87</v>
      </c>
      <c r="D2" s="236"/>
      <c r="E2" s="69"/>
      <c r="F2" s="69"/>
      <c r="G2" s="69"/>
    </row>
    <row r="3" spans="1:10" ht="15" customHeight="1" x14ac:dyDescent="0.25">
      <c r="A3" s="77" t="s">
        <v>80</v>
      </c>
      <c r="B3" s="131">
        <v>1E-10</v>
      </c>
      <c r="C3" s="90" t="s">
        <v>87</v>
      </c>
      <c r="D3" s="236"/>
      <c r="E3" s="69"/>
      <c r="F3" s="69"/>
      <c r="G3" s="69"/>
    </row>
    <row r="4" spans="1:10" ht="15" customHeight="1" x14ac:dyDescent="0.25">
      <c r="A4" s="77" t="s">
        <v>81</v>
      </c>
      <c r="B4" s="131">
        <v>1E-10</v>
      </c>
      <c r="C4" s="90" t="s">
        <v>87</v>
      </c>
      <c r="D4" s="236"/>
      <c r="E4" s="69"/>
      <c r="F4" s="69"/>
      <c r="G4" s="69"/>
    </row>
    <row r="5" spans="1:10" ht="15" customHeight="1" x14ac:dyDescent="0.25">
      <c r="A5" s="77" t="s">
        <v>82</v>
      </c>
      <c r="B5" s="131">
        <v>1E-10</v>
      </c>
      <c r="C5" s="90" t="s">
        <v>87</v>
      </c>
      <c r="D5" s="236"/>
      <c r="E5" s="69"/>
      <c r="F5" s="69"/>
      <c r="G5" s="69"/>
    </row>
    <row r="6" spans="1:10" ht="15" customHeight="1" x14ac:dyDescent="0.25">
      <c r="A6" s="108" t="s">
        <v>83</v>
      </c>
      <c r="B6" s="136">
        <f>B1/2</f>
        <v>5.0000000000000002E-11</v>
      </c>
      <c r="C6" s="126" t="s">
        <v>87</v>
      </c>
      <c r="D6" s="236"/>
      <c r="E6" s="69"/>
      <c r="F6" s="69"/>
      <c r="G6" s="69"/>
    </row>
    <row r="7" spans="1:10" ht="15" customHeight="1" x14ac:dyDescent="0.25">
      <c r="A7" s="151" t="s">
        <v>84</v>
      </c>
      <c r="B7" s="152">
        <v>1E-10</v>
      </c>
      <c r="C7" s="153" t="s">
        <v>87</v>
      </c>
      <c r="D7" s="236"/>
      <c r="E7" s="69"/>
      <c r="F7" s="146"/>
      <c r="G7" s="146"/>
      <c r="H7" s="147"/>
      <c r="I7" s="147"/>
      <c r="J7" s="147"/>
    </row>
    <row r="8" spans="1:10" x14ac:dyDescent="0.25">
      <c r="E8" s="69"/>
      <c r="F8" s="148"/>
      <c r="G8" s="149"/>
      <c r="H8" s="150"/>
      <c r="I8" s="148"/>
      <c r="J8" s="147"/>
    </row>
    <row r="10" spans="1:10" x14ac:dyDescent="0.25">
      <c r="A10" s="69"/>
      <c r="B10" s="69"/>
      <c r="C10" s="69"/>
      <c r="D10" s="69"/>
      <c r="E10" s="69"/>
      <c r="F10" s="69"/>
      <c r="G10" s="94"/>
    </row>
  </sheetData>
  <mergeCells count="1">
    <mergeCell ref="D1:D7"/>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3"/>
  <sheetViews>
    <sheetView workbookViewId="0">
      <selection activeCell="I2" sqref="I2:I11"/>
    </sheetView>
  </sheetViews>
  <sheetFormatPr defaultColWidth="11.44140625" defaultRowHeight="13.8" x14ac:dyDescent="0.25"/>
  <cols>
    <col min="1" max="2" width="11.44140625" customWidth="1"/>
    <col min="3" max="6" width="14.21875" style="75" customWidth="1"/>
    <col min="7" max="7" width="14.109375" style="71" customWidth="1"/>
    <col min="8" max="8" width="3.5546875" style="72" customWidth="1"/>
    <col min="9" max="9" width="27.88671875" customWidth="1"/>
  </cols>
  <sheetData>
    <row r="1" spans="1:9" ht="27" thickBot="1" x14ac:dyDescent="0.3">
      <c r="A1" s="162" t="s">
        <v>91</v>
      </c>
      <c r="B1" s="163" t="s">
        <v>240</v>
      </c>
      <c r="C1" s="163" t="s">
        <v>236</v>
      </c>
      <c r="D1" s="164" t="s">
        <v>237</v>
      </c>
      <c r="E1" s="163" t="s">
        <v>238</v>
      </c>
      <c r="F1" s="164" t="s">
        <v>239</v>
      </c>
      <c r="G1" s="164" t="s">
        <v>256</v>
      </c>
    </row>
    <row r="2" spans="1:9" ht="13.2" x14ac:dyDescent="0.25">
      <c r="A2" s="76" t="s">
        <v>74</v>
      </c>
      <c r="B2" s="172" t="s">
        <v>92</v>
      </c>
      <c r="C2" s="172">
        <v>-79.37</v>
      </c>
      <c r="D2" s="172">
        <v>-26.57</v>
      </c>
      <c r="E2" s="172" t="s">
        <v>92</v>
      </c>
      <c r="F2" s="172" t="s">
        <v>92</v>
      </c>
      <c r="G2" s="169">
        <v>3</v>
      </c>
      <c r="H2" s="165" t="s">
        <v>88</v>
      </c>
      <c r="I2" s="236" t="s">
        <v>257</v>
      </c>
    </row>
    <row r="3" spans="1:9" ht="13.2" x14ac:dyDescent="0.25">
      <c r="A3" s="77" t="s">
        <v>75</v>
      </c>
      <c r="B3" s="172" t="s">
        <v>92</v>
      </c>
      <c r="C3" s="172">
        <v>-50.6</v>
      </c>
      <c r="D3" s="172">
        <v>-32.200000000000003</v>
      </c>
      <c r="E3" s="172" t="s">
        <v>92</v>
      </c>
      <c r="F3" s="172" t="s">
        <v>92</v>
      </c>
      <c r="G3" s="170">
        <v>2</v>
      </c>
      <c r="H3" s="166" t="s">
        <v>88</v>
      </c>
      <c r="I3" s="236"/>
    </row>
    <row r="4" spans="1:9" ht="13.2" x14ac:dyDescent="0.25">
      <c r="A4" s="77" t="s">
        <v>80</v>
      </c>
      <c r="B4" s="172" t="s">
        <v>92</v>
      </c>
      <c r="C4" s="172">
        <v>-103.7</v>
      </c>
      <c r="D4" s="172">
        <v>-111.3</v>
      </c>
      <c r="E4" s="172" t="s">
        <v>92</v>
      </c>
      <c r="F4" s="172" t="s">
        <v>92</v>
      </c>
      <c r="G4" s="170">
        <v>2</v>
      </c>
      <c r="H4" s="166" t="s">
        <v>88</v>
      </c>
      <c r="I4" s="236"/>
    </row>
    <row r="5" spans="1:9" ht="13.2" x14ac:dyDescent="0.25">
      <c r="A5" s="77" t="s">
        <v>81</v>
      </c>
      <c r="B5" s="172" t="s">
        <v>92</v>
      </c>
      <c r="C5" s="172">
        <v>16.399999999999999</v>
      </c>
      <c r="D5" s="172" t="s">
        <v>92</v>
      </c>
      <c r="E5" s="172" t="s">
        <v>92</v>
      </c>
      <c r="F5" s="172" t="s">
        <v>92</v>
      </c>
      <c r="G5" s="170">
        <v>2</v>
      </c>
      <c r="H5" s="166" t="s">
        <v>88</v>
      </c>
      <c r="I5" s="236"/>
    </row>
    <row r="6" spans="1:9" ht="13.2" x14ac:dyDescent="0.25">
      <c r="A6" s="77" t="s">
        <v>82</v>
      </c>
      <c r="B6" s="172">
        <f>-386</f>
        <v>-386</v>
      </c>
      <c r="C6" s="172">
        <v>-623.16</v>
      </c>
      <c r="D6" s="172">
        <v>-586.85</v>
      </c>
      <c r="E6" s="172">
        <v>-527.79999999999995</v>
      </c>
      <c r="F6" s="172" t="s">
        <v>92</v>
      </c>
      <c r="G6" s="170">
        <v>3</v>
      </c>
      <c r="H6" s="166" t="s">
        <v>88</v>
      </c>
      <c r="I6" s="236"/>
    </row>
    <row r="7" spans="1:9" ht="13.2" x14ac:dyDescent="0.25">
      <c r="A7" s="77" t="s">
        <v>83</v>
      </c>
      <c r="B7" s="176" t="s">
        <v>92</v>
      </c>
      <c r="C7" s="176">
        <v>-755.9</v>
      </c>
      <c r="D7" s="176">
        <f>-180.69*4.184</f>
        <v>-756.00696000000005</v>
      </c>
      <c r="E7" s="176">
        <f>-177.97*4.184</f>
        <v>-744.62648000000002</v>
      </c>
      <c r="F7" s="176" t="s">
        <v>92</v>
      </c>
      <c r="G7" s="171">
        <v>4</v>
      </c>
      <c r="H7" s="74" t="s">
        <v>88</v>
      </c>
      <c r="I7" s="236"/>
    </row>
    <row r="8" spans="1:9" s="71" customFormat="1" ht="13.2" x14ac:dyDescent="0.25">
      <c r="A8" s="151" t="s">
        <v>84</v>
      </c>
      <c r="B8" s="178" t="s">
        <v>92</v>
      </c>
      <c r="C8" s="178">
        <v>0</v>
      </c>
      <c r="D8" s="178" t="s">
        <v>92</v>
      </c>
      <c r="E8" s="178" t="s">
        <v>92</v>
      </c>
      <c r="F8" s="179" t="s">
        <v>92</v>
      </c>
      <c r="G8" s="198">
        <v>2</v>
      </c>
      <c r="H8" s="73" t="s">
        <v>88</v>
      </c>
      <c r="I8" s="236"/>
    </row>
    <row r="9" spans="1:9" s="71" customFormat="1" ht="13.2" x14ac:dyDescent="0.25">
      <c r="A9" s="108" t="s">
        <v>85</v>
      </c>
      <c r="B9" s="180" t="s">
        <v>92</v>
      </c>
      <c r="C9" s="178">
        <v>0</v>
      </c>
      <c r="D9" s="178" t="s">
        <v>92</v>
      </c>
      <c r="E9" s="178" t="s">
        <v>92</v>
      </c>
      <c r="F9" s="179" t="s">
        <v>92</v>
      </c>
      <c r="G9" s="198">
        <v>2</v>
      </c>
      <c r="H9" s="93" t="s">
        <v>89</v>
      </c>
      <c r="I9" s="236"/>
    </row>
    <row r="10" spans="1:9" s="71" customFormat="1" ht="13.2" x14ac:dyDescent="0.25">
      <c r="A10" s="160" t="s">
        <v>86</v>
      </c>
      <c r="B10" s="177" t="s">
        <v>92</v>
      </c>
      <c r="C10" s="177">
        <v>-237.18</v>
      </c>
      <c r="D10" s="177">
        <v>-157.30000000000001</v>
      </c>
      <c r="E10" s="177" t="s">
        <v>92</v>
      </c>
      <c r="F10" s="177" t="s">
        <v>92</v>
      </c>
      <c r="G10" s="197">
        <v>2</v>
      </c>
      <c r="H10" s="73" t="s">
        <v>88</v>
      </c>
      <c r="I10" s="236"/>
    </row>
    <row r="11" spans="1:9" s="71" customFormat="1" thickBot="1" x14ac:dyDescent="0.3">
      <c r="A11" s="161" t="s">
        <v>18</v>
      </c>
      <c r="B11" s="172" t="s">
        <v>92</v>
      </c>
      <c r="C11" s="172">
        <v>0</v>
      </c>
      <c r="D11" s="172" t="s">
        <v>92</v>
      </c>
      <c r="E11" s="172" t="s">
        <v>92</v>
      </c>
      <c r="F11" s="172" t="s">
        <v>92</v>
      </c>
      <c r="G11" s="171">
        <v>2</v>
      </c>
      <c r="H11" s="74" t="s">
        <v>88</v>
      </c>
      <c r="I11" s="236"/>
    </row>
    <row r="12" spans="1:9" s="71" customFormat="1" ht="28.2" customHeight="1" thickBot="1" x14ac:dyDescent="0.3">
      <c r="A12" s="162" t="s">
        <v>91</v>
      </c>
      <c r="B12" s="167" t="s">
        <v>242</v>
      </c>
      <c r="C12" s="167" t="s">
        <v>243</v>
      </c>
      <c r="D12" s="168" t="s">
        <v>244</v>
      </c>
      <c r="E12" s="167" t="s">
        <v>245</v>
      </c>
      <c r="H12" s="72"/>
    </row>
    <row r="13" spans="1:9" s="71" customFormat="1" ht="13.2" x14ac:dyDescent="0.25">
      <c r="A13" s="76" t="s">
        <v>74</v>
      </c>
      <c r="B13" s="173">
        <f>IF(COUNT(B2,C2)=2, EXP(($C$10+B2-C2)/-(Parameters!$B$9*Parameters!$B$6)), 0)</f>
        <v>0</v>
      </c>
      <c r="C13" s="157">
        <f>IF(COUNT(C2,D2)=2, EXP((D2-C2)/-(Parameters!$B$9*Parameters!$B$6)), 0)</f>
        <v>3.9083870641861443E-10</v>
      </c>
      <c r="D13" s="173">
        <f>IF(COUNT(D2,E2)=2, EXP((E2-D2)/-(Parameters!$B$9*Parameters!$B$6)), 0)</f>
        <v>0</v>
      </c>
      <c r="E13" s="173">
        <f>IF(COUNT(E2,F2)=2, EXP((F2-E2)/-(Parameters!$B$9*Parameters!$B$6)), 0)</f>
        <v>0</v>
      </c>
      <c r="H13" s="72"/>
      <c r="I13" s="235" t="s">
        <v>258</v>
      </c>
    </row>
    <row r="14" spans="1:9" s="71" customFormat="1" ht="13.2" x14ac:dyDescent="0.25">
      <c r="A14" s="77" t="s">
        <v>75</v>
      </c>
      <c r="B14" s="173">
        <f>IF(COUNT(B3,C3)=2, EXP(($C$10+B3-C3)/-(Parameters!$B$9*Parameters!$B$6)), 0)</f>
        <v>0</v>
      </c>
      <c r="C14" s="157">
        <f>IF(COUNT(C3,D3)=2, EXP((D3-C3)/-(Parameters!$B$9*Parameters!$B$6)), 0)</f>
        <v>5.2656707191475868E-4</v>
      </c>
      <c r="D14" s="173">
        <f>IF(COUNT(D3,E3)=2, EXP((E3-D3)/-(Parameters!$B$9*Parameters!$B$6)), 0)</f>
        <v>0</v>
      </c>
      <c r="E14" s="173">
        <f>IF(COUNT(E3,F3)=2, EXP((F3-E3)/-(Parameters!$B$9*Parameters!$B$6)), 0)</f>
        <v>0</v>
      </c>
      <c r="H14" s="72"/>
      <c r="I14" s="235"/>
    </row>
    <row r="15" spans="1:9" s="71" customFormat="1" ht="13.2" x14ac:dyDescent="0.25">
      <c r="A15" s="77" t="s">
        <v>80</v>
      </c>
      <c r="B15" s="173">
        <f>IF(COUNT(B4,C4)=2, EXP(($C$10+B4-C4)/-(Parameters!$B$9*Parameters!$B$6)), 0)</f>
        <v>0</v>
      </c>
      <c r="C15" s="157">
        <f>IF(COUNT(C4,D4)=2, EXP((D4-C4)/-(Parameters!$B$9*Parameters!$B$6)), 0)</f>
        <v>22.603837077490315</v>
      </c>
      <c r="D15" s="173">
        <f>IF(COUNT(D4,E4)=2, EXP((E4-D4)/-(Parameters!$B$9*Parameters!$B$6)), 0)</f>
        <v>0</v>
      </c>
      <c r="E15" s="173">
        <f>IF(COUNT(E4,F4)=2, EXP((F4-E4)/-(Parameters!$B$9*Parameters!$B$6)), 0)</f>
        <v>0</v>
      </c>
      <c r="H15" s="72"/>
      <c r="I15" s="235"/>
    </row>
    <row r="16" spans="1:9" ht="13.2" x14ac:dyDescent="0.25">
      <c r="A16" s="77" t="s">
        <v>81</v>
      </c>
      <c r="B16" s="173">
        <f>IF(COUNT(B5,C5)=2, EXP(($C$10+B5-C5)/-(Parameters!$B$9*Parameters!$B$6)), 0)</f>
        <v>0</v>
      </c>
      <c r="C16" s="173">
        <f>IF(COUNT(C5,D5)=2, EXP((D5-C5)/-(Parameters!$B$9*Parameters!$B$6)), 0)</f>
        <v>0</v>
      </c>
      <c r="D16" s="173">
        <f>IF(COUNT(D5,E5)=2, EXP((E5-D5)/-(Parameters!$B$9*Parameters!$B$6)), 0)</f>
        <v>0</v>
      </c>
      <c r="E16" s="173">
        <f>IF(COUNT(E5,F5)=2, EXP((F5-E5)/-(Parameters!$B$9*Parameters!$B$6)), 0)</f>
        <v>0</v>
      </c>
      <c r="F16" s="71"/>
      <c r="I16" s="235"/>
    </row>
    <row r="17" spans="1:9" ht="13.2" x14ac:dyDescent="0.25">
      <c r="A17" s="77" t="s">
        <v>82</v>
      </c>
      <c r="B17" s="174">
        <f>1/0.0017</f>
        <v>588.23529411764707</v>
      </c>
      <c r="C17" s="157">
        <f>IF(COUNT(C6,D6)=2, EXP((D6-C6)/-(Parameters!$B$9*Parameters!$B$6)), 0)</f>
        <v>3.3901312221699524E-7</v>
      </c>
      <c r="D17" s="157">
        <f>IF(COUNT(D6,E6)=2, EXP((E6-D6)/-(Parameters!$B$9*Parameters!$B$6)), 0)</f>
        <v>3.008575507210982E-11</v>
      </c>
      <c r="E17" s="173">
        <f>IF(COUNT(E6,F6)=2, EXP((F6-E6)/-(Parameters!$B$9*Parameters!$B$6)), 0)</f>
        <v>0</v>
      </c>
      <c r="F17" s="71"/>
      <c r="I17" s="235"/>
    </row>
    <row r="18" spans="1:9" ht="13.2" x14ac:dyDescent="0.25">
      <c r="A18" s="108" t="s">
        <v>83</v>
      </c>
      <c r="B18" s="182">
        <f>IF(COUNT(B7,C7)=2, EXP(($C$10+B7-C7)/-(Parameters!$B$9*Parameters!$B$6)), 0)</f>
        <v>0</v>
      </c>
      <c r="C18" s="195">
        <v>100</v>
      </c>
      <c r="D18" s="196">
        <f>10^(-1.92)</f>
        <v>1.2022644346174125E-2</v>
      </c>
      <c r="E18" s="183">
        <f>IF(COUNT(E7,F7)=2, EXP((F7-E7)/-(Parameters!$B$9*Parameters!$B$6)), 0)</f>
        <v>0</v>
      </c>
      <c r="F18" s="71"/>
      <c r="H18" s="71"/>
      <c r="I18" s="235"/>
    </row>
    <row r="19" spans="1:9" ht="13.2" x14ac:dyDescent="0.25">
      <c r="A19" s="151" t="s">
        <v>84</v>
      </c>
      <c r="B19" s="193">
        <f>IF(COUNT(B8,C8)=2, EXP(($C$10+B8-C8)/-(Parameters!$B$9*Parameters!$B$6)), 0)</f>
        <v>0</v>
      </c>
      <c r="C19" s="194">
        <f>IF(COUNT(C8,D8)=2, EXP((D8-C8)/-(Parameters!$B$9*Parameters!$B$6)), 0)</f>
        <v>0</v>
      </c>
      <c r="D19" s="194">
        <f>IF(COUNT(D8,E8)=2, EXP((E8-D8)/-(Parameters!$B$9*Parameters!$B$6)), 0)</f>
        <v>0</v>
      </c>
      <c r="E19" s="194">
        <f>IF(COUNT(E8,F8)=2, EXP((F8-E8)/-(Parameters!$B$9*Parameters!$B$6)), 0)</f>
        <v>0</v>
      </c>
      <c r="F19" s="71"/>
      <c r="H19" s="71"/>
      <c r="I19" s="235"/>
    </row>
    <row r="20" spans="1:9" ht="13.2" x14ac:dyDescent="0.25">
      <c r="A20" s="151" t="s">
        <v>85</v>
      </c>
      <c r="B20" s="184">
        <f>IF(COUNT(B9,C9)=2, EXP(($C$10+B9-C9)/-(Parameters!$B$9*Parameters!$B$6)), 0)</f>
        <v>0</v>
      </c>
      <c r="C20" s="185">
        <f>IF(COUNT(C9,D9)=2, EXP((D9-C9)/-(Parameters!$B$9*Parameters!$B$6)), 0)</f>
        <v>0</v>
      </c>
      <c r="D20" s="185">
        <f>IF(COUNT(D9,E9)=2, EXP((E9-D9)/-(Parameters!$B$9*Parameters!$B$6)), 0)</f>
        <v>0</v>
      </c>
      <c r="E20" s="185">
        <f>IF(COUNT(E9,F9)=2, EXP((F9-E9)/-(Parameters!$B$9*Parameters!$B$6)), 0)</f>
        <v>0</v>
      </c>
      <c r="F20" s="71"/>
      <c r="H20" s="71"/>
      <c r="I20" s="235"/>
    </row>
    <row r="21" spans="1:9" ht="13.2" x14ac:dyDescent="0.25">
      <c r="A21" s="160" t="s">
        <v>86</v>
      </c>
      <c r="B21" s="181">
        <f>IF(COUNT(B10,C10)=2, EXP(($C$10+B10-C10)/-(Parameters!$B$9*Parameters!$B$6)), 0)</f>
        <v>0</v>
      </c>
      <c r="C21" s="118">
        <f>IF(COUNT(C10,D10)=2, EXP((D10-C10)/-(Parameters!$B$9*Parameters!$B$6)), 0)</f>
        <v>5.845648305092005E-15</v>
      </c>
      <c r="D21" s="181">
        <f>IF(COUNT(D10,E10)=2, EXP((E10-D10)/-(Parameters!$B$9*Parameters!$B$6)), 0)</f>
        <v>0</v>
      </c>
      <c r="E21" s="181">
        <f>IF(COUNT(E10,F10)=2, EXP((F10-E10)/-(Parameters!$B$9*Parameters!$B$6)), 0)</f>
        <v>0</v>
      </c>
      <c r="F21" s="71"/>
      <c r="H21" s="71"/>
      <c r="I21" s="235"/>
    </row>
    <row r="22" spans="1:9" thickBot="1" x14ac:dyDescent="0.3">
      <c r="A22" s="161" t="s">
        <v>18</v>
      </c>
      <c r="B22" s="173">
        <f>IF(COUNT(B11,C11)=2, EXP(($C$10+B11-C11)/-(Parameters!$B$9*Parameters!$B$6)), 0)</f>
        <v>0</v>
      </c>
      <c r="C22" s="173">
        <f>IF(COUNT(C11,D11)=2, EXP((D11-C11)/-(Parameters!$B$9*Parameters!$B$6)), 0)</f>
        <v>0</v>
      </c>
      <c r="D22" s="173">
        <f>IF(COUNT(D11,E11)=2, EXP((E11-D11)/-(Parameters!$B$9*Parameters!$B$6)), 0)</f>
        <v>0</v>
      </c>
      <c r="E22" s="173">
        <f>IF(COUNT(E11,F11)=2, EXP((F11-E11)/-(Parameters!$B$9*Parameters!$B$6)), 0)</f>
        <v>0</v>
      </c>
      <c r="F22" s="71"/>
      <c r="I22" s="235"/>
    </row>
    <row r="23" spans="1:9" ht="28.2" customHeight="1" thickBot="1" x14ac:dyDescent="0.3">
      <c r="A23" s="237" t="s">
        <v>241</v>
      </c>
      <c r="B23" s="238"/>
      <c r="C23" s="238"/>
      <c r="D23" s="238"/>
      <c r="E23" s="238"/>
      <c r="F23" s="239"/>
    </row>
    <row r="24" spans="1:9" ht="13.2" x14ac:dyDescent="0.25">
      <c r="A24" s="76" t="s">
        <v>74</v>
      </c>
      <c r="B24" s="175" t="s">
        <v>93</v>
      </c>
      <c r="C24" s="175">
        <v>1</v>
      </c>
      <c r="D24" s="175">
        <v>0</v>
      </c>
      <c r="E24" s="175" t="s">
        <v>93</v>
      </c>
      <c r="F24" s="175" t="s">
        <v>93</v>
      </c>
      <c r="I24" s="235" t="s">
        <v>259</v>
      </c>
    </row>
    <row r="25" spans="1:9" ht="13.2" x14ac:dyDescent="0.25">
      <c r="A25" s="77" t="s">
        <v>75</v>
      </c>
      <c r="B25" s="175" t="s">
        <v>93</v>
      </c>
      <c r="C25" s="175">
        <v>0</v>
      </c>
      <c r="D25" s="175">
        <v>-1</v>
      </c>
      <c r="E25" s="175" t="s">
        <v>93</v>
      </c>
      <c r="F25" s="175" t="s">
        <v>93</v>
      </c>
      <c r="I25" s="235"/>
    </row>
    <row r="26" spans="1:9" ht="13.2" x14ac:dyDescent="0.25">
      <c r="A26" s="77" t="s">
        <v>80</v>
      </c>
      <c r="B26" s="175" t="s">
        <v>93</v>
      </c>
      <c r="C26" s="175">
        <v>0</v>
      </c>
      <c r="D26" s="175">
        <v>-1</v>
      </c>
      <c r="E26" s="175" t="s">
        <v>93</v>
      </c>
      <c r="F26" s="175" t="s">
        <v>93</v>
      </c>
      <c r="I26" s="235"/>
    </row>
    <row r="27" spans="1:9" ht="13.2" x14ac:dyDescent="0.25">
      <c r="A27" s="77" t="s">
        <v>81</v>
      </c>
      <c r="B27" s="175" t="s">
        <v>93</v>
      </c>
      <c r="C27" s="175">
        <v>0</v>
      </c>
      <c r="D27" s="175" t="s">
        <v>93</v>
      </c>
      <c r="E27" s="175" t="s">
        <v>93</v>
      </c>
      <c r="F27" s="175" t="s">
        <v>93</v>
      </c>
      <c r="I27" s="235"/>
    </row>
    <row r="28" spans="1:9" ht="13.2" x14ac:dyDescent="0.25">
      <c r="A28" s="77" t="s">
        <v>82</v>
      </c>
      <c r="B28" s="175">
        <v>0</v>
      </c>
      <c r="C28" s="175">
        <v>0</v>
      </c>
      <c r="D28" s="175">
        <v>-1</v>
      </c>
      <c r="E28" s="175">
        <v>-2</v>
      </c>
      <c r="F28" s="175" t="s">
        <v>93</v>
      </c>
      <c r="I28" s="235"/>
    </row>
    <row r="29" spans="1:9" ht="13.2" x14ac:dyDescent="0.25">
      <c r="A29" s="108" t="s">
        <v>83</v>
      </c>
      <c r="B29" s="187" t="s">
        <v>93</v>
      </c>
      <c r="C29" s="188">
        <v>0</v>
      </c>
      <c r="D29" s="188">
        <v>-1</v>
      </c>
      <c r="E29" s="188">
        <v>-2</v>
      </c>
      <c r="F29" s="188" t="s">
        <v>93</v>
      </c>
      <c r="I29" s="235"/>
    </row>
    <row r="30" spans="1:9" ht="13.2" x14ac:dyDescent="0.25">
      <c r="A30" s="151" t="s">
        <v>84</v>
      </c>
      <c r="B30" s="191" t="s">
        <v>93</v>
      </c>
      <c r="C30" s="192">
        <v>1</v>
      </c>
      <c r="D30" s="192" t="s">
        <v>93</v>
      </c>
      <c r="E30" s="192" t="s">
        <v>93</v>
      </c>
      <c r="F30" s="192" t="s">
        <v>93</v>
      </c>
      <c r="I30" s="235"/>
    </row>
    <row r="31" spans="1:9" ht="13.2" x14ac:dyDescent="0.25">
      <c r="A31" s="151" t="s">
        <v>85</v>
      </c>
      <c r="B31" s="189" t="s">
        <v>93</v>
      </c>
      <c r="C31" s="190">
        <v>0</v>
      </c>
      <c r="D31" s="190" t="s">
        <v>93</v>
      </c>
      <c r="E31" s="190" t="s">
        <v>93</v>
      </c>
      <c r="F31" s="190" t="s">
        <v>93</v>
      </c>
      <c r="I31" s="235"/>
    </row>
    <row r="32" spans="1:9" ht="13.2" x14ac:dyDescent="0.25">
      <c r="A32" s="160" t="s">
        <v>86</v>
      </c>
      <c r="B32" s="186" t="s">
        <v>93</v>
      </c>
      <c r="C32" s="186">
        <v>0</v>
      </c>
      <c r="D32" s="186">
        <v>-1</v>
      </c>
      <c r="E32" s="186" t="s">
        <v>93</v>
      </c>
      <c r="F32" s="186" t="s">
        <v>93</v>
      </c>
      <c r="I32" s="235"/>
    </row>
    <row r="33" spans="1:9" thickBot="1" x14ac:dyDescent="0.3">
      <c r="A33" s="161" t="s">
        <v>18</v>
      </c>
      <c r="B33" s="175" t="s">
        <v>93</v>
      </c>
      <c r="C33" s="175">
        <v>1</v>
      </c>
      <c r="D33" s="175" t="s">
        <v>93</v>
      </c>
      <c r="E33" s="175" t="s">
        <v>93</v>
      </c>
      <c r="F33" s="175" t="s">
        <v>93</v>
      </c>
      <c r="I33" s="235"/>
    </row>
  </sheetData>
  <mergeCells count="4">
    <mergeCell ref="A23:F23"/>
    <mergeCell ref="I2:I11"/>
    <mergeCell ref="I13:I22"/>
    <mergeCell ref="I24:I33"/>
  </mergeCells>
  <conditionalFormatting sqref="B2:F11 B24:F33 B13:E17 B19:E22 B18 D18:E18">
    <cfRule type="containsText" dxfId="79" priority="54" operator="containsText" text="NA">
      <formula>NOT(ISERROR(SEARCH("NA",B2)))</formula>
    </cfRule>
    <cfRule type="containsText" dxfId="78" priority="55" operator="containsText" text="Inf">
      <formula>NOT(ISERROR(SEARCH("Inf",B2)))</formula>
    </cfRule>
  </conditionalFormatting>
  <conditionalFormatting sqref="B13:E17 B19:E22 B18 D18:E18">
    <cfRule type="cellIs" dxfId="77" priority="1" operator="equal">
      <formula>0</formula>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8F689-441D-42D9-88AF-5DCF32002981}">
  <dimension ref="A1:F7"/>
  <sheetViews>
    <sheetView workbookViewId="0">
      <selection activeCell="A2" sqref="A2:A7"/>
    </sheetView>
  </sheetViews>
  <sheetFormatPr defaultRowHeight="13.2" x14ac:dyDescent="0.25"/>
  <cols>
    <col min="1" max="1" width="11.33203125" bestFit="1" customWidth="1"/>
    <col min="2" max="2" width="14.33203125" customWidth="1"/>
    <col min="3" max="3" width="13.6640625" customWidth="1"/>
    <col min="4" max="4" width="12" customWidth="1"/>
    <col min="5" max="5" width="9.5546875" bestFit="1" customWidth="1"/>
    <col min="6" max="6" width="56" customWidth="1"/>
  </cols>
  <sheetData>
    <row r="1" spans="1:6" ht="13.8" thickBot="1" x14ac:dyDescent="0.3">
      <c r="A1" s="64"/>
      <c r="B1" s="156" t="s">
        <v>74</v>
      </c>
      <c r="C1" s="156" t="s">
        <v>75</v>
      </c>
      <c r="D1" s="156" t="s">
        <v>80</v>
      </c>
      <c r="E1" s="156" t="s">
        <v>81</v>
      </c>
      <c r="F1" s="240" t="s">
        <v>253</v>
      </c>
    </row>
    <row r="2" spans="1:6" x14ac:dyDescent="0.25">
      <c r="A2" s="76" t="s">
        <v>73</v>
      </c>
      <c r="B2" s="157">
        <v>9.9999999999999995E-7</v>
      </c>
      <c r="C2" s="157">
        <v>0</v>
      </c>
      <c r="D2" s="157">
        <v>0</v>
      </c>
      <c r="E2" s="157">
        <f>(0.1/32)/1000</f>
        <v>3.1250000000000001E-6</v>
      </c>
      <c r="F2" s="240"/>
    </row>
    <row r="3" spans="1:6" x14ac:dyDescent="0.25">
      <c r="A3" s="77" t="s">
        <v>254</v>
      </c>
      <c r="B3" s="157">
        <v>0</v>
      </c>
      <c r="C3" s="157">
        <v>9.9999999999999995E-7</v>
      </c>
      <c r="D3" s="157">
        <v>0</v>
      </c>
      <c r="E3" s="157">
        <f t="shared" ref="E3:E7" si="0">(0.1/32)/1000</f>
        <v>3.1250000000000001E-6</v>
      </c>
      <c r="F3" s="240"/>
    </row>
    <row r="4" spans="1:6" x14ac:dyDescent="0.25">
      <c r="A4" s="77" t="s">
        <v>255</v>
      </c>
      <c r="B4" s="157">
        <v>0</v>
      </c>
      <c r="C4" s="157">
        <v>9.9999999999999995E-7</v>
      </c>
      <c r="D4" s="157">
        <v>0</v>
      </c>
      <c r="E4" s="157">
        <f t="shared" si="0"/>
        <v>3.1250000000000001E-6</v>
      </c>
      <c r="F4" s="240"/>
    </row>
    <row r="5" spans="1:6" x14ac:dyDescent="0.25">
      <c r="A5" s="77" t="s">
        <v>76</v>
      </c>
      <c r="B5" s="157">
        <v>9.9999999999999995E-7</v>
      </c>
      <c r="C5" s="157">
        <v>9.9999999999999995E-7</v>
      </c>
      <c r="D5" s="157">
        <v>0</v>
      </c>
      <c r="E5" s="157">
        <v>0</v>
      </c>
      <c r="F5" s="240"/>
    </row>
    <row r="6" spans="1:6" x14ac:dyDescent="0.25">
      <c r="A6" s="77" t="s">
        <v>120</v>
      </c>
      <c r="B6" s="157">
        <v>9.9999999999999995E-7</v>
      </c>
      <c r="C6" s="157">
        <v>0</v>
      </c>
      <c r="D6" s="157">
        <v>0</v>
      </c>
      <c r="E6" s="157">
        <f t="shared" si="0"/>
        <v>3.1250000000000001E-6</v>
      </c>
      <c r="F6" s="240"/>
    </row>
    <row r="7" spans="1:6" ht="13.8" thickBot="1" x14ac:dyDescent="0.3">
      <c r="A7" s="89" t="s">
        <v>121</v>
      </c>
      <c r="B7" s="157">
        <v>9.9999999999999995E-7</v>
      </c>
      <c r="C7" s="157">
        <v>0</v>
      </c>
      <c r="D7" s="157">
        <v>9.9999999999999995E-7</v>
      </c>
      <c r="E7" s="157">
        <f t="shared" si="0"/>
        <v>3.1250000000000001E-6</v>
      </c>
      <c r="F7" s="240"/>
    </row>
  </sheetData>
  <mergeCells count="1">
    <mergeCell ref="F1:F7"/>
  </mergeCells>
  <phoneticPr fontId="40" type="noConversion"/>
  <conditionalFormatting sqref="B2:E7">
    <cfRule type="cellIs" dxfId="76" priority="1" operator="equal">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FAE86-699B-425D-9552-4ABBD32F0DFA}">
  <dimension ref="A1:E7"/>
  <sheetViews>
    <sheetView workbookViewId="0">
      <selection activeCell="E19" sqref="E19"/>
    </sheetView>
  </sheetViews>
  <sheetFormatPr defaultRowHeight="13.2" x14ac:dyDescent="0.25"/>
  <cols>
    <col min="1" max="1" width="11.33203125" bestFit="1" customWidth="1"/>
    <col min="2" max="3" width="11.6640625" customWidth="1"/>
    <col min="4" max="4" width="12" customWidth="1"/>
    <col min="5" max="5" width="40.109375" customWidth="1"/>
  </cols>
  <sheetData>
    <row r="1" spans="1:5" ht="15" customHeight="1" thickBot="1" x14ac:dyDescent="0.3">
      <c r="A1" s="64"/>
      <c r="B1" s="156" t="s">
        <v>74</v>
      </c>
      <c r="C1" s="156" t="s">
        <v>75</v>
      </c>
      <c r="D1" s="156" t="s">
        <v>81</v>
      </c>
      <c r="E1" s="240" t="s">
        <v>252</v>
      </c>
    </row>
    <row r="2" spans="1:5" x14ac:dyDescent="0.25">
      <c r="A2" s="76" t="s">
        <v>73</v>
      </c>
      <c r="B2" s="157">
        <v>0</v>
      </c>
      <c r="C2" s="157">
        <v>0</v>
      </c>
      <c r="D2" s="157">
        <v>0</v>
      </c>
      <c r="E2" s="240"/>
    </row>
    <row r="3" spans="1:5" x14ac:dyDescent="0.25">
      <c r="A3" s="77" t="s">
        <v>254</v>
      </c>
      <c r="B3" s="157">
        <v>0</v>
      </c>
      <c r="C3" s="157">
        <v>0</v>
      </c>
      <c r="D3" s="157">
        <v>0</v>
      </c>
      <c r="E3" s="240"/>
    </row>
    <row r="4" spans="1:5" x14ac:dyDescent="0.25">
      <c r="A4" s="77" t="s">
        <v>255</v>
      </c>
      <c r="B4" s="157">
        <v>0</v>
      </c>
      <c r="C4" s="157">
        <v>0</v>
      </c>
      <c r="D4" s="157">
        <v>0</v>
      </c>
      <c r="E4" s="240"/>
    </row>
    <row r="5" spans="1:5" x14ac:dyDescent="0.25">
      <c r="A5" s="77" t="s">
        <v>76</v>
      </c>
      <c r="B5" s="157">
        <v>0</v>
      </c>
      <c r="C5" s="157">
        <v>0</v>
      </c>
      <c r="D5" s="157">
        <f>0.01*(1/32)*(1/1000)</f>
        <v>3.1250000000000003E-7</v>
      </c>
      <c r="E5" s="240"/>
    </row>
    <row r="6" spans="1:5" x14ac:dyDescent="0.25">
      <c r="A6" s="77" t="s">
        <v>120</v>
      </c>
      <c r="B6" s="157">
        <v>0</v>
      </c>
      <c r="C6" s="157">
        <v>0</v>
      </c>
      <c r="D6" s="157">
        <v>0</v>
      </c>
      <c r="E6" s="240"/>
    </row>
    <row r="7" spans="1:5" ht="13.8" thickBot="1" x14ac:dyDescent="0.3">
      <c r="A7" s="89" t="s">
        <v>121</v>
      </c>
      <c r="B7" s="157">
        <v>0</v>
      </c>
      <c r="C7" s="157">
        <v>0</v>
      </c>
      <c r="D7" s="157">
        <v>0</v>
      </c>
      <c r="E7" s="240"/>
    </row>
  </sheetData>
  <mergeCells count="1">
    <mergeCell ref="E1:E7"/>
  </mergeCells>
  <conditionalFormatting sqref="B2:D7">
    <cfRule type="cellIs" dxfId="75" priority="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FA51-252D-42F9-AC75-BD3B676D8AD2}">
  <dimension ref="A1:F7"/>
  <sheetViews>
    <sheetView workbookViewId="0">
      <selection activeCell="F19" sqref="F19"/>
    </sheetView>
  </sheetViews>
  <sheetFormatPr defaultRowHeight="13.2" x14ac:dyDescent="0.25"/>
  <cols>
    <col min="1" max="1" width="11.33203125" bestFit="1" customWidth="1"/>
    <col min="2" max="2" width="11.6640625" customWidth="1"/>
    <col min="3" max="3" width="8.77734375" customWidth="1"/>
    <col min="4" max="4" width="14.6640625" customWidth="1"/>
    <col min="5" max="5" width="17.44140625" customWidth="1"/>
    <col min="6" max="6" width="64.44140625" customWidth="1"/>
  </cols>
  <sheetData>
    <row r="1" spans="1:6" ht="13.8" thickBot="1" x14ac:dyDescent="0.3">
      <c r="B1" s="156" t="s">
        <v>251</v>
      </c>
      <c r="C1" s="156" t="s">
        <v>72</v>
      </c>
      <c r="D1" s="156" t="s">
        <v>249</v>
      </c>
      <c r="E1" s="156" t="s">
        <v>250</v>
      </c>
    </row>
    <row r="2" spans="1:6" x14ac:dyDescent="0.25">
      <c r="A2" s="76" t="s">
        <v>73</v>
      </c>
      <c r="B2" s="157">
        <f>0.0415</f>
        <v>4.1500000000000002E-2</v>
      </c>
      <c r="C2" s="158" t="s">
        <v>74</v>
      </c>
      <c r="D2" s="159">
        <f>E2*0.1</f>
        <v>1E-3</v>
      </c>
      <c r="E2" s="159">
        <v>0.01</v>
      </c>
      <c r="F2" s="236" t="s">
        <v>282</v>
      </c>
    </row>
    <row r="3" spans="1:6" x14ac:dyDescent="0.25">
      <c r="A3" s="77" t="s">
        <v>254</v>
      </c>
      <c r="B3" s="157">
        <v>2.07E-2</v>
      </c>
      <c r="C3" s="158" t="s">
        <v>75</v>
      </c>
      <c r="D3" s="159">
        <f t="shared" ref="D3:D7" si="0">E3*0.1</f>
        <v>1E-3</v>
      </c>
      <c r="E3" s="159">
        <v>0.01</v>
      </c>
      <c r="F3" s="236"/>
    </row>
    <row r="4" spans="1:6" x14ac:dyDescent="0.25">
      <c r="A4" s="77" t="s">
        <v>255</v>
      </c>
      <c r="B4" s="157">
        <v>2.07E-2</v>
      </c>
      <c r="C4" s="158" t="s">
        <v>75</v>
      </c>
      <c r="D4" s="159">
        <f t="shared" si="0"/>
        <v>1E-3</v>
      </c>
      <c r="E4" s="159">
        <v>0.01</v>
      </c>
      <c r="F4" s="236"/>
    </row>
    <row r="5" spans="1:6" x14ac:dyDescent="0.25">
      <c r="A5" s="77" t="s">
        <v>76</v>
      </c>
      <c r="B5" s="157">
        <f>0.066</f>
        <v>6.6000000000000003E-2</v>
      </c>
      <c r="C5" s="158" t="s">
        <v>74</v>
      </c>
      <c r="D5" s="159">
        <f t="shared" si="0"/>
        <v>1E-3</v>
      </c>
      <c r="E5" s="159">
        <v>0.01</v>
      </c>
      <c r="F5" s="236"/>
    </row>
    <row r="6" spans="1:6" x14ac:dyDescent="0.25">
      <c r="A6" s="77" t="s">
        <v>120</v>
      </c>
      <c r="B6" s="157">
        <v>6.2199999999999998E-2</v>
      </c>
      <c r="C6" s="157" t="s">
        <v>74</v>
      </c>
      <c r="D6" s="159">
        <f t="shared" si="0"/>
        <v>1E-3</v>
      </c>
      <c r="E6" s="159">
        <v>0.01</v>
      </c>
      <c r="F6" s="236"/>
    </row>
    <row r="7" spans="1:6" ht="13.8" thickBot="1" x14ac:dyDescent="0.3">
      <c r="A7" s="89" t="s">
        <v>121</v>
      </c>
      <c r="B7" s="157">
        <v>1.7399999999999999E-2</v>
      </c>
      <c r="C7" s="157" t="s">
        <v>80</v>
      </c>
      <c r="D7" s="159">
        <f t="shared" si="0"/>
        <v>1E-3</v>
      </c>
      <c r="E7" s="159">
        <v>0.01</v>
      </c>
      <c r="F7" s="236"/>
    </row>
  </sheetData>
  <mergeCells count="1">
    <mergeCell ref="F2:F7"/>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2"/>
  <sheetViews>
    <sheetView zoomScaleNormal="100" workbookViewId="0">
      <pane xSplit="1" ySplit="2" topLeftCell="B3" activePane="bottomRight" state="frozen"/>
      <selection pane="topRight" activeCell="B1" sqref="B1"/>
      <selection pane="bottomLeft" activeCell="A3" sqref="A3"/>
      <selection pane="bottomRight" activeCell="F17" sqref="F17"/>
    </sheetView>
  </sheetViews>
  <sheetFormatPr defaultColWidth="11.44140625" defaultRowHeight="13.2" x14ac:dyDescent="0.25"/>
  <cols>
    <col min="1" max="1" width="8.44140625" style="62" customWidth="1"/>
    <col min="2" max="2" width="13.5546875" style="62" customWidth="1"/>
    <col min="3" max="3" width="13" style="62" customWidth="1"/>
    <col min="4" max="4" width="13.5546875" style="62" customWidth="1"/>
    <col min="5" max="5" width="14.5546875" style="62" customWidth="1"/>
    <col min="6" max="6" width="14" style="62" customWidth="1"/>
    <col min="7" max="7" width="16.88671875" style="62" customWidth="1"/>
    <col min="8" max="8" width="13" style="62" customWidth="1"/>
    <col min="9" max="9" width="14.5546875" style="62" customWidth="1"/>
    <col min="10" max="16384" width="11.44140625" style="62"/>
  </cols>
  <sheetData>
    <row r="1" spans="1:19" x14ac:dyDescent="0.25">
      <c r="A1" s="69"/>
      <c r="B1" s="243" t="s">
        <v>73</v>
      </c>
      <c r="C1" s="241"/>
      <c r="D1" s="242"/>
      <c r="E1" s="243" t="s">
        <v>254</v>
      </c>
      <c r="F1" s="241"/>
      <c r="G1" s="242"/>
      <c r="H1" s="243" t="s">
        <v>255</v>
      </c>
      <c r="I1" s="241"/>
      <c r="J1" s="242"/>
      <c r="K1" s="241" t="s">
        <v>76</v>
      </c>
      <c r="L1" s="241"/>
      <c r="M1" s="242"/>
      <c r="N1" s="241" t="s">
        <v>120</v>
      </c>
      <c r="O1" s="241"/>
      <c r="P1" s="242"/>
      <c r="Q1" s="241" t="s">
        <v>121</v>
      </c>
      <c r="R1" s="241"/>
      <c r="S1" s="242"/>
    </row>
    <row r="2" spans="1:19" ht="13.8" thickBot="1" x14ac:dyDescent="0.3">
      <c r="A2" s="69"/>
      <c r="B2" s="200" t="s">
        <v>77</v>
      </c>
      <c r="C2" s="201" t="s">
        <v>78</v>
      </c>
      <c r="D2" s="202" t="s">
        <v>79</v>
      </c>
      <c r="E2" s="200" t="s">
        <v>77</v>
      </c>
      <c r="F2" s="201" t="s">
        <v>78</v>
      </c>
      <c r="G2" s="202" t="s">
        <v>79</v>
      </c>
      <c r="H2" s="200" t="s">
        <v>77</v>
      </c>
      <c r="I2" s="201" t="s">
        <v>78</v>
      </c>
      <c r="J2" s="202" t="s">
        <v>79</v>
      </c>
      <c r="K2" s="201" t="s">
        <v>77</v>
      </c>
      <c r="L2" s="201" t="s">
        <v>78</v>
      </c>
      <c r="M2" s="202" t="s">
        <v>79</v>
      </c>
      <c r="N2" s="201" t="s">
        <v>77</v>
      </c>
      <c r="O2" s="201" t="s">
        <v>78</v>
      </c>
      <c r="P2" s="202" t="s">
        <v>79</v>
      </c>
      <c r="Q2" s="201" t="s">
        <v>77</v>
      </c>
      <c r="R2" s="201" t="s">
        <v>78</v>
      </c>
      <c r="S2" s="202" t="s">
        <v>79</v>
      </c>
    </row>
    <row r="3" spans="1:19" x14ac:dyDescent="0.25">
      <c r="A3" s="76" t="s">
        <v>74</v>
      </c>
      <c r="B3" s="206">
        <v>-1</v>
      </c>
      <c r="C3" s="105">
        <v>0</v>
      </c>
      <c r="D3" s="207">
        <v>0</v>
      </c>
      <c r="E3" s="206">
        <v>0</v>
      </c>
      <c r="F3" s="105">
        <v>0</v>
      </c>
      <c r="G3" s="207">
        <v>0</v>
      </c>
      <c r="H3" s="206">
        <v>0</v>
      </c>
      <c r="I3" s="105">
        <v>0</v>
      </c>
      <c r="J3" s="207">
        <v>0</v>
      </c>
      <c r="K3" s="206">
        <v>-1</v>
      </c>
      <c r="L3" s="105">
        <v>0</v>
      </c>
      <c r="M3" s="207">
        <v>0</v>
      </c>
      <c r="N3" s="206">
        <v>-1</v>
      </c>
      <c r="O3" s="105">
        <v>0</v>
      </c>
      <c r="P3" s="207">
        <v>0</v>
      </c>
      <c r="Q3" s="206">
        <v>-1</v>
      </c>
      <c r="R3" s="105">
        <v>0</v>
      </c>
      <c r="S3" s="207">
        <v>0</v>
      </c>
    </row>
    <row r="4" spans="1:19" x14ac:dyDescent="0.25">
      <c r="A4" s="77" t="s">
        <v>75</v>
      </c>
      <c r="B4" s="208">
        <v>1</v>
      </c>
      <c r="C4" s="209">
        <v>0</v>
      </c>
      <c r="D4" s="210">
        <v>0</v>
      </c>
      <c r="E4" s="208">
        <v>-1</v>
      </c>
      <c r="F4" s="209">
        <v>0</v>
      </c>
      <c r="G4" s="210">
        <v>0</v>
      </c>
      <c r="H4" s="208">
        <v>-1</v>
      </c>
      <c r="I4" s="209">
        <v>0</v>
      </c>
      <c r="J4" s="210">
        <v>0</v>
      </c>
      <c r="K4" s="208">
        <v>-1</v>
      </c>
      <c r="L4" s="209">
        <v>0</v>
      </c>
      <c r="M4" s="210">
        <v>0</v>
      </c>
      <c r="N4" s="208">
        <v>0</v>
      </c>
      <c r="O4" s="209">
        <v>0</v>
      </c>
      <c r="P4" s="210">
        <v>0</v>
      </c>
      <c r="Q4" s="208">
        <v>2</v>
      </c>
      <c r="R4" s="209">
        <v>0</v>
      </c>
      <c r="S4" s="210">
        <v>0</v>
      </c>
    </row>
    <row r="5" spans="1:19" x14ac:dyDescent="0.25">
      <c r="A5" s="77" t="s">
        <v>80</v>
      </c>
      <c r="B5" s="208">
        <v>0</v>
      </c>
      <c r="C5" s="209">
        <v>0</v>
      </c>
      <c r="D5" s="210">
        <v>0</v>
      </c>
      <c r="E5" s="208">
        <v>1</v>
      </c>
      <c r="F5" s="209">
        <v>0</v>
      </c>
      <c r="G5" s="210">
        <v>0</v>
      </c>
      <c r="H5" s="208">
        <v>1</v>
      </c>
      <c r="I5" s="209">
        <v>0</v>
      </c>
      <c r="J5" s="210">
        <v>0</v>
      </c>
      <c r="K5" s="208">
        <v>0</v>
      </c>
      <c r="L5" s="209">
        <v>0</v>
      </c>
      <c r="M5" s="210">
        <v>0</v>
      </c>
      <c r="N5" s="208">
        <v>1</v>
      </c>
      <c r="O5" s="209">
        <v>0</v>
      </c>
      <c r="P5" s="210">
        <v>0</v>
      </c>
      <c r="Q5" s="208">
        <v>-1</v>
      </c>
      <c r="R5" s="209">
        <v>0</v>
      </c>
      <c r="S5" s="210">
        <v>0</v>
      </c>
    </row>
    <row r="6" spans="1:19" x14ac:dyDescent="0.25">
      <c r="A6" s="77" t="s">
        <v>81</v>
      </c>
      <c r="B6" s="208">
        <v>-1.5</v>
      </c>
      <c r="C6" s="209">
        <v>0</v>
      </c>
      <c r="D6" s="210">
        <v>0</v>
      </c>
      <c r="E6" s="208">
        <v>-0.5</v>
      </c>
      <c r="F6" s="209">
        <v>0</v>
      </c>
      <c r="G6" s="210">
        <v>0</v>
      </c>
      <c r="H6" s="208">
        <v>-0.5</v>
      </c>
      <c r="I6" s="209">
        <v>0</v>
      </c>
      <c r="J6" s="210">
        <v>0</v>
      </c>
      <c r="K6" s="208">
        <v>0</v>
      </c>
      <c r="L6" s="209">
        <v>0</v>
      </c>
      <c r="M6" s="210">
        <v>0</v>
      </c>
      <c r="N6" s="208">
        <v>-2</v>
      </c>
      <c r="O6" s="209">
        <v>0</v>
      </c>
      <c r="P6" s="210">
        <v>0</v>
      </c>
      <c r="Q6" s="208">
        <v>-1</v>
      </c>
      <c r="R6" s="209">
        <v>0</v>
      </c>
      <c r="S6" s="210">
        <v>0</v>
      </c>
    </row>
    <row r="7" spans="1:19" s="63" customFormat="1" x14ac:dyDescent="0.25">
      <c r="A7" s="77" t="s">
        <v>82</v>
      </c>
      <c r="B7" s="208">
        <v>0</v>
      </c>
      <c r="C7" s="209">
        <v>-1</v>
      </c>
      <c r="D7" s="210">
        <v>1</v>
      </c>
      <c r="E7" s="208">
        <v>0</v>
      </c>
      <c r="F7" s="209">
        <v>-1</v>
      </c>
      <c r="G7" s="210">
        <v>1</v>
      </c>
      <c r="H7" s="208">
        <v>0</v>
      </c>
      <c r="I7" s="209">
        <v>-1</v>
      </c>
      <c r="J7" s="210">
        <v>1</v>
      </c>
      <c r="K7" s="208">
        <v>0</v>
      </c>
      <c r="L7" s="209">
        <v>-1</v>
      </c>
      <c r="M7" s="210">
        <v>1</v>
      </c>
      <c r="N7" s="208">
        <v>0</v>
      </c>
      <c r="O7" s="209">
        <v>-1</v>
      </c>
      <c r="P7" s="210">
        <v>1</v>
      </c>
      <c r="Q7" s="208">
        <v>0</v>
      </c>
      <c r="R7" s="209">
        <v>-1</v>
      </c>
      <c r="S7" s="210">
        <v>1</v>
      </c>
    </row>
    <row r="8" spans="1:19" s="63" customFormat="1" x14ac:dyDescent="0.25">
      <c r="A8" s="77" t="s">
        <v>83</v>
      </c>
      <c r="B8" s="211">
        <v>0</v>
      </c>
      <c r="C8" s="203">
        <v>0</v>
      </c>
      <c r="D8" s="212">
        <v>0</v>
      </c>
      <c r="E8" s="211">
        <v>0</v>
      </c>
      <c r="F8" s="203">
        <v>0</v>
      </c>
      <c r="G8" s="212">
        <v>0</v>
      </c>
      <c r="H8" s="211">
        <v>0</v>
      </c>
      <c r="I8" s="203">
        <v>0</v>
      </c>
      <c r="J8" s="212">
        <v>0</v>
      </c>
      <c r="K8" s="211">
        <v>0</v>
      </c>
      <c r="L8" s="203">
        <v>0</v>
      </c>
      <c r="M8" s="212">
        <v>0</v>
      </c>
      <c r="N8" s="211">
        <v>0</v>
      </c>
      <c r="O8" s="203">
        <v>0</v>
      </c>
      <c r="P8" s="212">
        <v>0</v>
      </c>
      <c r="Q8" s="211">
        <v>0</v>
      </c>
      <c r="R8" s="203">
        <v>0</v>
      </c>
      <c r="S8" s="212">
        <v>0</v>
      </c>
    </row>
    <row r="9" spans="1:19" x14ac:dyDescent="0.25">
      <c r="A9" s="151" t="s">
        <v>84</v>
      </c>
      <c r="B9" s="204">
        <v>0</v>
      </c>
      <c r="C9" s="205">
        <v>0</v>
      </c>
      <c r="D9" s="213">
        <v>0</v>
      </c>
      <c r="E9" s="204">
        <v>0</v>
      </c>
      <c r="F9" s="205">
        <v>0</v>
      </c>
      <c r="G9" s="213">
        <v>0</v>
      </c>
      <c r="H9" s="204">
        <v>0</v>
      </c>
      <c r="I9" s="205">
        <v>0</v>
      </c>
      <c r="J9" s="213">
        <v>0</v>
      </c>
      <c r="K9" s="204">
        <v>0</v>
      </c>
      <c r="L9" s="205">
        <v>0</v>
      </c>
      <c r="M9" s="213">
        <v>0</v>
      </c>
      <c r="N9" s="204">
        <v>0</v>
      </c>
      <c r="O9" s="205">
        <v>0</v>
      </c>
      <c r="P9" s="213">
        <v>0</v>
      </c>
      <c r="Q9" s="204">
        <v>0</v>
      </c>
      <c r="R9" s="205">
        <v>0</v>
      </c>
      <c r="S9" s="213">
        <v>0</v>
      </c>
    </row>
    <row r="10" spans="1:19" x14ac:dyDescent="0.25">
      <c r="A10" s="151" t="s">
        <v>85</v>
      </c>
      <c r="B10" s="204">
        <v>0</v>
      </c>
      <c r="C10" s="205">
        <v>0</v>
      </c>
      <c r="D10" s="213">
        <v>0</v>
      </c>
      <c r="E10" s="204">
        <v>0</v>
      </c>
      <c r="F10" s="205">
        <v>0</v>
      </c>
      <c r="G10" s="213">
        <v>0</v>
      </c>
      <c r="H10" s="204">
        <v>0</v>
      </c>
      <c r="I10" s="205">
        <v>0</v>
      </c>
      <c r="J10" s="213">
        <v>0</v>
      </c>
      <c r="K10" s="204">
        <v>1</v>
      </c>
      <c r="L10" s="205">
        <v>0</v>
      </c>
      <c r="M10" s="213">
        <v>0</v>
      </c>
      <c r="N10" s="204">
        <v>0</v>
      </c>
      <c r="O10" s="205">
        <v>0</v>
      </c>
      <c r="P10" s="213">
        <v>0</v>
      </c>
      <c r="Q10" s="204">
        <v>0</v>
      </c>
      <c r="R10" s="205">
        <v>0</v>
      </c>
      <c r="S10" s="213">
        <v>0</v>
      </c>
    </row>
    <row r="11" spans="1:19" x14ac:dyDescent="0.25">
      <c r="A11" s="199" t="s">
        <v>86</v>
      </c>
      <c r="B11" s="214">
        <v>1</v>
      </c>
      <c r="C11" s="102">
        <v>0</v>
      </c>
      <c r="D11" s="215">
        <v>0</v>
      </c>
      <c r="E11" s="214">
        <v>0</v>
      </c>
      <c r="F11" s="102">
        <v>0</v>
      </c>
      <c r="G11" s="215">
        <v>0</v>
      </c>
      <c r="H11" s="214">
        <v>0</v>
      </c>
      <c r="I11" s="102">
        <v>0</v>
      </c>
      <c r="J11" s="215">
        <v>0</v>
      </c>
      <c r="K11" s="214">
        <v>2</v>
      </c>
      <c r="L11" s="102">
        <v>0</v>
      </c>
      <c r="M11" s="215">
        <v>0</v>
      </c>
      <c r="N11" s="214">
        <v>1</v>
      </c>
      <c r="O11" s="102">
        <v>0</v>
      </c>
      <c r="P11" s="215">
        <v>0</v>
      </c>
      <c r="Q11" s="214">
        <v>1</v>
      </c>
      <c r="R11" s="102">
        <v>0</v>
      </c>
      <c r="S11" s="215">
        <v>0</v>
      </c>
    </row>
    <row r="12" spans="1:19" ht="13.8" thickBot="1" x14ac:dyDescent="0.3">
      <c r="A12" s="161" t="s">
        <v>18</v>
      </c>
      <c r="B12" s="100">
        <v>1</v>
      </c>
      <c r="C12" s="216">
        <v>0</v>
      </c>
      <c r="D12" s="217">
        <v>0</v>
      </c>
      <c r="E12" s="100">
        <v>0</v>
      </c>
      <c r="F12" s="216">
        <v>0</v>
      </c>
      <c r="G12" s="217">
        <v>0</v>
      </c>
      <c r="H12" s="100">
        <v>0</v>
      </c>
      <c r="I12" s="216">
        <v>0</v>
      </c>
      <c r="J12" s="217">
        <v>0</v>
      </c>
      <c r="K12" s="100">
        <v>0</v>
      </c>
      <c r="L12" s="216">
        <v>0</v>
      </c>
      <c r="M12" s="217">
        <v>0</v>
      </c>
      <c r="N12" s="100">
        <v>2</v>
      </c>
      <c r="O12" s="216">
        <v>0</v>
      </c>
      <c r="P12" s="217">
        <v>0</v>
      </c>
      <c r="Q12" s="100">
        <v>2</v>
      </c>
      <c r="R12" s="216">
        <v>0</v>
      </c>
      <c r="S12" s="217">
        <v>0</v>
      </c>
    </row>
  </sheetData>
  <mergeCells count="6">
    <mergeCell ref="Q1:S1"/>
    <mergeCell ref="B1:D1"/>
    <mergeCell ref="E1:G1"/>
    <mergeCell ref="H1:J1"/>
    <mergeCell ref="K1:M1"/>
    <mergeCell ref="N1:P1"/>
  </mergeCells>
  <conditionalFormatting sqref="B10:B12 E3:F7 E10:G12 J10:J12">
    <cfRule type="cellIs" dxfId="74" priority="94" operator="equal">
      <formula>0</formula>
    </cfRule>
  </conditionalFormatting>
  <conditionalFormatting sqref="G3">
    <cfRule type="cellIs" dxfId="73" priority="60" operator="equal">
      <formula>0</formula>
    </cfRule>
  </conditionalFormatting>
  <conditionalFormatting sqref="D10:D12">
    <cfRule type="cellIs" dxfId="72" priority="73" operator="equal">
      <formula>0</formula>
    </cfRule>
  </conditionalFormatting>
  <conditionalFormatting sqref="D9">
    <cfRule type="cellIs" dxfId="71" priority="56" operator="equal">
      <formula>0</formula>
    </cfRule>
  </conditionalFormatting>
  <conditionalFormatting sqref="B3:B7">
    <cfRule type="cellIs" dxfId="70" priority="67" operator="equal">
      <formula>0</formula>
    </cfRule>
  </conditionalFormatting>
  <conditionalFormatting sqref="D3">
    <cfRule type="cellIs" dxfId="69" priority="66" operator="equal">
      <formula>0</formula>
    </cfRule>
  </conditionalFormatting>
  <conditionalFormatting sqref="D4:D7">
    <cfRule type="cellIs" dxfId="68" priority="65" operator="equal">
      <formula>0</formula>
    </cfRule>
  </conditionalFormatting>
  <conditionalFormatting sqref="G4:G7">
    <cfRule type="cellIs" dxfId="67" priority="59" operator="equal">
      <formula>0</formula>
    </cfRule>
  </conditionalFormatting>
  <conditionalFormatting sqref="B9">
    <cfRule type="cellIs" dxfId="66" priority="58" operator="equal">
      <formula>0</formula>
    </cfRule>
  </conditionalFormatting>
  <conditionalFormatting sqref="E9">
    <cfRule type="cellIs" dxfId="65" priority="55" operator="equal">
      <formula>0</formula>
    </cfRule>
  </conditionalFormatting>
  <conditionalFormatting sqref="F9">
    <cfRule type="cellIs" dxfId="64" priority="54" operator="equal">
      <formula>0</formula>
    </cfRule>
  </conditionalFormatting>
  <conditionalFormatting sqref="G9">
    <cfRule type="cellIs" dxfId="63" priority="53" operator="equal">
      <formula>0</formula>
    </cfRule>
  </conditionalFormatting>
  <conditionalFormatting sqref="B8">
    <cfRule type="cellIs" dxfId="62" priority="52" operator="equal">
      <formula>0</formula>
    </cfRule>
  </conditionalFormatting>
  <conditionalFormatting sqref="D8">
    <cfRule type="cellIs" dxfId="61" priority="50" operator="equal">
      <formula>0</formula>
    </cfRule>
  </conditionalFormatting>
  <conditionalFormatting sqref="E8">
    <cfRule type="cellIs" dxfId="60" priority="49" operator="equal">
      <formula>0</formula>
    </cfRule>
  </conditionalFormatting>
  <conditionalFormatting sqref="F8">
    <cfRule type="cellIs" dxfId="59" priority="48" operator="equal">
      <formula>0</formula>
    </cfRule>
  </conditionalFormatting>
  <conditionalFormatting sqref="G8">
    <cfRule type="cellIs" dxfId="58" priority="47" operator="equal">
      <formula>0</formula>
    </cfRule>
  </conditionalFormatting>
  <conditionalFormatting sqref="H3:I7 H10:I12">
    <cfRule type="cellIs" dxfId="57" priority="46" operator="equal">
      <formula>0</formula>
    </cfRule>
  </conditionalFormatting>
  <conditionalFormatting sqref="J3">
    <cfRule type="cellIs" dxfId="56" priority="42" operator="equal">
      <formula>0</formula>
    </cfRule>
  </conditionalFormatting>
  <conditionalFormatting sqref="J4:J7">
    <cfRule type="cellIs" dxfId="55" priority="41" operator="equal">
      <formula>0</formula>
    </cfRule>
  </conditionalFormatting>
  <conditionalFormatting sqref="H9">
    <cfRule type="cellIs" dxfId="54" priority="40" operator="equal">
      <formula>0</formula>
    </cfRule>
  </conditionalFormatting>
  <conditionalFormatting sqref="I9">
    <cfRule type="cellIs" dxfId="53" priority="39" operator="equal">
      <formula>0</formula>
    </cfRule>
  </conditionalFormatting>
  <conditionalFormatting sqref="J9">
    <cfRule type="cellIs" dxfId="52" priority="38" operator="equal">
      <formula>0</formula>
    </cfRule>
  </conditionalFormatting>
  <conditionalFormatting sqref="H8">
    <cfRule type="cellIs" dxfId="51" priority="37" operator="equal">
      <formula>0</formula>
    </cfRule>
  </conditionalFormatting>
  <conditionalFormatting sqref="I8">
    <cfRule type="cellIs" dxfId="50" priority="36" operator="equal">
      <formula>0</formula>
    </cfRule>
  </conditionalFormatting>
  <conditionalFormatting sqref="J8">
    <cfRule type="cellIs" dxfId="49" priority="35" operator="equal">
      <formula>0</formula>
    </cfRule>
  </conditionalFormatting>
  <conditionalFormatting sqref="L3:L7 K10:L12 N10:N12 Q10:Q12">
    <cfRule type="cellIs" dxfId="48" priority="34" operator="equal">
      <formula>0</formula>
    </cfRule>
  </conditionalFormatting>
  <conditionalFormatting sqref="M10:M12">
    <cfRule type="cellIs" dxfId="47" priority="33" operator="equal">
      <formula>0</formula>
    </cfRule>
  </conditionalFormatting>
  <conditionalFormatting sqref="M9">
    <cfRule type="cellIs" dxfId="46" priority="26" operator="equal">
      <formula>0</formula>
    </cfRule>
  </conditionalFormatting>
  <conditionalFormatting sqref="K3:K7 N3:N7 Q3:Q7">
    <cfRule type="cellIs" dxfId="45" priority="31" operator="equal">
      <formula>0</formula>
    </cfRule>
  </conditionalFormatting>
  <conditionalFormatting sqref="M3">
    <cfRule type="cellIs" dxfId="44" priority="30" operator="equal">
      <formula>0</formula>
    </cfRule>
  </conditionalFormatting>
  <conditionalFormatting sqref="M4:M7">
    <cfRule type="cellIs" dxfId="43" priority="29" operator="equal">
      <formula>0</formula>
    </cfRule>
  </conditionalFormatting>
  <conditionalFormatting sqref="K9 N9 Q9">
    <cfRule type="cellIs" dxfId="42" priority="28" operator="equal">
      <formula>0</formula>
    </cfRule>
  </conditionalFormatting>
  <conditionalFormatting sqref="L9">
    <cfRule type="cellIs" dxfId="41" priority="27" operator="equal">
      <formula>0</formula>
    </cfRule>
  </conditionalFormatting>
  <conditionalFormatting sqref="K8 N8 Q8">
    <cfRule type="cellIs" dxfId="40" priority="25" operator="equal">
      <formula>0</formula>
    </cfRule>
  </conditionalFormatting>
  <conditionalFormatting sqref="L8">
    <cfRule type="cellIs" dxfId="39" priority="24" operator="equal">
      <formula>0</formula>
    </cfRule>
  </conditionalFormatting>
  <conditionalFormatting sqref="M8">
    <cfRule type="cellIs" dxfId="38" priority="23" operator="equal">
      <formula>0</formula>
    </cfRule>
  </conditionalFormatting>
  <conditionalFormatting sqref="O3:O7 O10:O12">
    <cfRule type="cellIs" dxfId="37" priority="22" operator="equal">
      <formula>0</formula>
    </cfRule>
  </conditionalFormatting>
  <conditionalFormatting sqref="O9">
    <cfRule type="cellIs" dxfId="36" priority="21" operator="equal">
      <formula>0</formula>
    </cfRule>
  </conditionalFormatting>
  <conditionalFormatting sqref="O8">
    <cfRule type="cellIs" dxfId="35" priority="20" operator="equal">
      <formula>0</formula>
    </cfRule>
  </conditionalFormatting>
  <conditionalFormatting sqref="R3:R7 R10:R12">
    <cfRule type="cellIs" dxfId="34" priority="19" operator="equal">
      <formula>0</formula>
    </cfRule>
  </conditionalFormatting>
  <conditionalFormatting sqref="R9">
    <cfRule type="cellIs" dxfId="33" priority="18" operator="equal">
      <formula>0</formula>
    </cfRule>
  </conditionalFormatting>
  <conditionalFormatting sqref="R8">
    <cfRule type="cellIs" dxfId="32" priority="17" operator="equal">
      <formula>0</formula>
    </cfRule>
  </conditionalFormatting>
  <conditionalFormatting sqref="P10:P12">
    <cfRule type="cellIs" dxfId="31" priority="16" operator="equal">
      <formula>0</formula>
    </cfRule>
  </conditionalFormatting>
  <conditionalFormatting sqref="P9">
    <cfRule type="cellIs" dxfId="30" priority="13" operator="equal">
      <formula>0</formula>
    </cfRule>
  </conditionalFormatting>
  <conditionalFormatting sqref="P3">
    <cfRule type="cellIs" dxfId="29" priority="15" operator="equal">
      <formula>0</formula>
    </cfRule>
  </conditionalFormatting>
  <conditionalFormatting sqref="P4:P7">
    <cfRule type="cellIs" dxfId="28" priority="14" operator="equal">
      <formula>0</formula>
    </cfRule>
  </conditionalFormatting>
  <conditionalFormatting sqref="P8">
    <cfRule type="cellIs" dxfId="27" priority="12" operator="equal">
      <formula>0</formula>
    </cfRule>
  </conditionalFormatting>
  <conditionalFormatting sqref="S10:S12">
    <cfRule type="cellIs" dxfId="26" priority="11" operator="equal">
      <formula>0</formula>
    </cfRule>
  </conditionalFormatting>
  <conditionalFormatting sqref="S9">
    <cfRule type="cellIs" dxfId="25" priority="8" operator="equal">
      <formula>0</formula>
    </cfRule>
  </conditionalFormatting>
  <conditionalFormatting sqref="S3">
    <cfRule type="cellIs" dxfId="24" priority="10" operator="equal">
      <formula>0</formula>
    </cfRule>
  </conditionalFormatting>
  <conditionalFormatting sqref="S4:S7">
    <cfRule type="cellIs" dxfId="23" priority="9" operator="equal">
      <formula>0</formula>
    </cfRule>
  </conditionalFormatting>
  <conditionalFormatting sqref="S8">
    <cfRule type="cellIs" dxfId="22" priority="7" operator="equal">
      <formula>0</formula>
    </cfRule>
  </conditionalFormatting>
  <conditionalFormatting sqref="C3:C7 C10:C12">
    <cfRule type="cellIs" dxfId="21" priority="3" operator="equal">
      <formula>0</formula>
    </cfRule>
  </conditionalFormatting>
  <conditionalFormatting sqref="C9">
    <cfRule type="cellIs" dxfId="20" priority="2" operator="equal">
      <formula>0</formula>
    </cfRule>
  </conditionalFormatting>
  <conditionalFormatting sqref="C8">
    <cfRule type="cellIs" dxfId="19" priority="1"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AN39"/>
  <sheetViews>
    <sheetView topLeftCell="H1" zoomScale="70" zoomScaleNormal="70" zoomScalePageLayoutView="125" workbookViewId="0">
      <selection activeCell="I3" sqref="I3:I16"/>
    </sheetView>
  </sheetViews>
  <sheetFormatPr defaultColWidth="8.88671875" defaultRowHeight="14.4" x14ac:dyDescent="0.3"/>
  <cols>
    <col min="1" max="1" width="2.5546875" style="1" customWidth="1"/>
    <col min="2" max="2" width="46.88671875" style="1" customWidth="1"/>
    <col min="3" max="3" width="24.44140625" style="1" customWidth="1"/>
    <col min="4" max="5" width="18.88671875" style="1" customWidth="1"/>
    <col min="6" max="6" width="7.88671875" style="1" customWidth="1"/>
    <col min="7" max="7" width="8" style="2" customWidth="1"/>
    <col min="8" max="8" width="8.88671875" style="1"/>
    <col min="9" max="9" width="15" style="1" customWidth="1"/>
    <col min="10" max="10" width="15.5546875" style="1" customWidth="1"/>
    <col min="11" max="11" width="6.109375" style="1" customWidth="1"/>
    <col min="12" max="12" width="4.88671875" style="1" customWidth="1"/>
    <col min="13" max="14" width="4.44140625" style="1" customWidth="1"/>
    <col min="15" max="15" width="5" style="1" customWidth="1"/>
    <col min="16" max="17" width="4.5546875" style="1" customWidth="1"/>
    <col min="18" max="18" width="7.44140625" style="1" customWidth="1"/>
    <col min="19" max="20" width="12.88671875" style="1" customWidth="1"/>
    <col min="21" max="21" width="15.5546875" style="1" customWidth="1"/>
    <col min="22" max="22" width="11.5546875" style="1" customWidth="1"/>
    <col min="23" max="24" width="12.44140625" style="1" customWidth="1"/>
    <col min="25" max="25" width="15.44140625" style="1" customWidth="1"/>
    <col min="26" max="26" width="11.44140625" style="1" customWidth="1"/>
    <col min="27" max="28" width="12.5546875" style="1" customWidth="1"/>
    <col min="29" max="29" width="15.5546875" style="1" customWidth="1"/>
    <col min="30" max="30" width="12.44140625" style="1" customWidth="1"/>
    <col min="31" max="32" width="12.5546875" style="1" customWidth="1"/>
    <col min="33" max="33" width="15.5546875" style="1" customWidth="1"/>
    <col min="34" max="34" width="12.44140625" style="1" customWidth="1"/>
    <col min="35" max="36" width="8.88671875" style="1"/>
    <col min="37" max="37" width="14.88671875" style="1" customWidth="1"/>
    <col min="38" max="16384" width="8.88671875" style="1"/>
  </cols>
  <sheetData>
    <row r="2" spans="2:40" ht="21.75" customHeight="1" x14ac:dyDescent="0.3">
      <c r="S2" s="218" t="s">
        <v>0</v>
      </c>
      <c r="T2" s="218"/>
      <c r="U2" s="218"/>
      <c r="V2" s="218"/>
      <c r="W2" s="218" t="s">
        <v>1</v>
      </c>
      <c r="X2" s="218"/>
      <c r="Y2" s="218"/>
      <c r="Z2" s="218"/>
      <c r="AA2" s="218" t="s">
        <v>2</v>
      </c>
      <c r="AB2" s="218"/>
      <c r="AC2" s="218"/>
      <c r="AD2" s="218"/>
      <c r="AE2" s="218" t="s">
        <v>3</v>
      </c>
      <c r="AF2" s="218"/>
      <c r="AG2" s="218"/>
      <c r="AH2" s="218"/>
      <c r="AK2" s="3" t="s">
        <v>4</v>
      </c>
      <c r="AL2" s="4" t="s">
        <v>5</v>
      </c>
      <c r="AM2" s="4" t="s">
        <v>6</v>
      </c>
      <c r="AN2" s="5" t="s">
        <v>7</v>
      </c>
    </row>
    <row r="3" spans="2:40" ht="19.2" x14ac:dyDescent="0.4">
      <c r="B3" s="6" t="s">
        <v>8</v>
      </c>
      <c r="C3" s="7" t="s">
        <v>9</v>
      </c>
      <c r="D3" s="7" t="s">
        <v>10</v>
      </c>
      <c r="E3" s="7" t="s">
        <v>11</v>
      </c>
      <c r="F3" s="8" t="s">
        <v>12</v>
      </c>
      <c r="G3" s="9" t="s">
        <v>13</v>
      </c>
      <c r="I3" s="10" t="s">
        <v>14</v>
      </c>
      <c r="J3" s="11" t="s">
        <v>15</v>
      </c>
      <c r="K3" s="12" t="s">
        <v>16</v>
      </c>
      <c r="L3" s="13" t="s">
        <v>17</v>
      </c>
      <c r="M3" s="13" t="s">
        <v>18</v>
      </c>
      <c r="N3" s="13" t="s">
        <v>19</v>
      </c>
      <c r="O3" s="13" t="s">
        <v>20</v>
      </c>
      <c r="P3" s="13" t="s">
        <v>21</v>
      </c>
      <c r="Q3" s="13" t="s">
        <v>22</v>
      </c>
      <c r="R3" s="14" t="s">
        <v>23</v>
      </c>
      <c r="S3" s="15" t="s">
        <v>24</v>
      </c>
      <c r="T3" s="16" t="s">
        <v>25</v>
      </c>
      <c r="U3" s="16" t="s">
        <v>26</v>
      </c>
      <c r="V3" s="17" t="s">
        <v>27</v>
      </c>
      <c r="W3" s="15" t="s">
        <v>24</v>
      </c>
      <c r="X3" s="16" t="s">
        <v>25</v>
      </c>
      <c r="Y3" s="16" t="s">
        <v>26</v>
      </c>
      <c r="Z3" s="17" t="s">
        <v>27</v>
      </c>
      <c r="AA3" s="15" t="s">
        <v>24</v>
      </c>
      <c r="AB3" s="16" t="s">
        <v>25</v>
      </c>
      <c r="AC3" s="16" t="s">
        <v>26</v>
      </c>
      <c r="AD3" s="17" t="s">
        <v>27</v>
      </c>
      <c r="AE3" s="15" t="s">
        <v>24</v>
      </c>
      <c r="AF3" s="16" t="s">
        <v>25</v>
      </c>
      <c r="AG3" s="16" t="s">
        <v>26</v>
      </c>
      <c r="AH3" s="17" t="s">
        <v>27</v>
      </c>
      <c r="AI3" s="86" t="s">
        <v>28</v>
      </c>
      <c r="AJ3" s="88"/>
      <c r="AK3" s="18" t="s">
        <v>29</v>
      </c>
      <c r="AL3" s="19" t="s">
        <v>30</v>
      </c>
      <c r="AM3" s="19">
        <v>96.484999999999999</v>
      </c>
      <c r="AN3" s="19" t="s">
        <v>31</v>
      </c>
    </row>
    <row r="4" spans="2:40" ht="19.2" x14ac:dyDescent="0.4">
      <c r="B4" s="6"/>
      <c r="C4" s="7"/>
      <c r="D4" s="7"/>
      <c r="E4" s="7"/>
      <c r="F4" s="8"/>
      <c r="G4" s="9"/>
      <c r="I4" s="29" t="s">
        <v>32</v>
      </c>
      <c r="J4" s="33">
        <v>-79.400000000000006</v>
      </c>
      <c r="K4" s="32">
        <v>-3</v>
      </c>
      <c r="L4" s="31">
        <v>0</v>
      </c>
      <c r="M4" s="31">
        <v>4</v>
      </c>
      <c r="N4" s="31">
        <v>0</v>
      </c>
      <c r="O4" s="31">
        <v>1</v>
      </c>
      <c r="P4" s="31">
        <v>0</v>
      </c>
      <c r="Q4" s="31">
        <v>0</v>
      </c>
      <c r="R4" s="31">
        <v>1</v>
      </c>
      <c r="S4" s="26">
        <v>0</v>
      </c>
      <c r="T4" s="27">
        <v>0</v>
      </c>
      <c r="U4" s="27">
        <v>0</v>
      </c>
      <c r="V4" s="28">
        <v>0</v>
      </c>
      <c r="W4" s="26">
        <v>0</v>
      </c>
      <c r="X4" s="27">
        <v>0</v>
      </c>
      <c r="Y4" s="27">
        <v>0</v>
      </c>
      <c r="Z4" s="28">
        <v>0</v>
      </c>
      <c r="AA4" s="26">
        <v>0</v>
      </c>
      <c r="AB4" s="27">
        <v>0</v>
      </c>
      <c r="AC4" s="27">
        <v>0</v>
      </c>
      <c r="AD4" s="28">
        <v>0</v>
      </c>
      <c r="AE4" s="26">
        <v>0</v>
      </c>
      <c r="AF4" s="27">
        <v>0</v>
      </c>
      <c r="AG4" s="27">
        <v>0</v>
      </c>
      <c r="AH4" s="28">
        <f>AF4+AG4*(-$AF$15/$AG$15)</f>
        <v>0</v>
      </c>
      <c r="AI4" s="28">
        <v>0.2</v>
      </c>
      <c r="AJ4" s="88"/>
      <c r="AK4" s="18"/>
      <c r="AL4" s="19"/>
      <c r="AM4" s="19"/>
      <c r="AN4" s="19"/>
    </row>
    <row r="5" spans="2:40" ht="18.600000000000001" x14ac:dyDescent="0.4">
      <c r="B5" s="20" t="s">
        <v>33</v>
      </c>
      <c r="C5" s="21">
        <f>S27</f>
        <v>-307.36384335522246</v>
      </c>
      <c r="D5" s="21">
        <f>V27</f>
        <v>300.12884335522256</v>
      </c>
      <c r="E5" s="22">
        <v>3500</v>
      </c>
      <c r="F5" s="21">
        <f>(D5+E5)/(-C5)-V5</f>
        <v>13.263617014521088</v>
      </c>
      <c r="G5" s="23">
        <f>1/F5</f>
        <v>7.5394215537525996E-2</v>
      </c>
      <c r="I5" s="29" t="s">
        <v>34</v>
      </c>
      <c r="J5" s="33">
        <v>-26.57</v>
      </c>
      <c r="K5" s="32">
        <v>-3</v>
      </c>
      <c r="L5" s="31">
        <v>0</v>
      </c>
      <c r="M5" s="31">
        <v>3</v>
      </c>
      <c r="N5" s="31">
        <v>0</v>
      </c>
      <c r="O5" s="31">
        <v>1</v>
      </c>
      <c r="P5" s="31">
        <v>0</v>
      </c>
      <c r="Q5" s="31">
        <v>0</v>
      </c>
      <c r="R5" s="31">
        <v>0</v>
      </c>
      <c r="S5" s="26">
        <v>-1</v>
      </c>
      <c r="T5" s="27">
        <v>-0.2</v>
      </c>
      <c r="U5" s="27">
        <v>-1</v>
      </c>
      <c r="V5" s="28">
        <f>T5+U5*(-$T$15/$U$15)</f>
        <v>-0.90000000000000013</v>
      </c>
      <c r="W5" s="26">
        <v>0</v>
      </c>
      <c r="X5" s="27">
        <v>0</v>
      </c>
      <c r="Y5" s="27">
        <v>0</v>
      </c>
      <c r="Z5" s="28">
        <f>X5+Y5*(-$X$15/$Y$15)</f>
        <v>0</v>
      </c>
      <c r="AA5" s="26">
        <f t="shared" ref="AA5:AA16" si="0">S5+W5</f>
        <v>-1</v>
      </c>
      <c r="AB5" s="27">
        <v>-0.2</v>
      </c>
      <c r="AC5" s="27">
        <v>-1</v>
      </c>
      <c r="AD5" s="28">
        <f>AB5+AC5*(-$AB$15/$AC$15)</f>
        <v>-0.72500000000000009</v>
      </c>
      <c r="AE5" s="26">
        <v>-1</v>
      </c>
      <c r="AF5" s="27">
        <v>-0.2</v>
      </c>
      <c r="AG5" s="27">
        <v>0</v>
      </c>
      <c r="AH5" s="28">
        <f>AF5+AG5*(-$AF$15/$AG$15)</f>
        <v>-0.2</v>
      </c>
      <c r="AI5" s="28">
        <v>0</v>
      </c>
      <c r="AJ5" s="87"/>
      <c r="AK5" s="18" t="s">
        <v>35</v>
      </c>
      <c r="AL5" s="19" t="s">
        <v>36</v>
      </c>
      <c r="AM5" s="19">
        <v>8.3140000000000002E-3</v>
      </c>
      <c r="AN5" s="19" t="s">
        <v>37</v>
      </c>
    </row>
    <row r="6" spans="2:40" ht="19.2" x14ac:dyDescent="0.4">
      <c r="B6" s="20" t="s">
        <v>1</v>
      </c>
      <c r="C6" s="21">
        <f>W27</f>
        <v>-87.34</v>
      </c>
      <c r="D6" s="21">
        <f>Z27</f>
        <v>304.9798433552225</v>
      </c>
      <c r="E6" s="22">
        <v>3500</v>
      </c>
      <c r="F6" s="21">
        <f>(D6+E6)/(-C6)-Z6</f>
        <v>46.465145905143373</v>
      </c>
      <c r="G6" s="23">
        <f t="shared" ref="G6:G7" si="1">1/F6</f>
        <v>2.1521507799447302E-2</v>
      </c>
      <c r="I6" s="29" t="s">
        <v>38</v>
      </c>
      <c r="J6" s="24">
        <v>-32.200000000000003</v>
      </c>
      <c r="K6" s="29">
        <v>3</v>
      </c>
      <c r="L6" s="25">
        <v>0</v>
      </c>
      <c r="M6" s="25">
        <v>1</v>
      </c>
      <c r="N6" s="25">
        <v>2</v>
      </c>
      <c r="O6" s="25">
        <v>1</v>
      </c>
      <c r="P6" s="25">
        <v>0</v>
      </c>
      <c r="Q6" s="25">
        <v>0</v>
      </c>
      <c r="R6" s="25">
        <v>0</v>
      </c>
      <c r="S6" s="26">
        <v>1</v>
      </c>
      <c r="T6" s="27">
        <v>0</v>
      </c>
      <c r="U6" s="27">
        <v>1</v>
      </c>
      <c r="V6" s="28">
        <f>T6+U6*(-$T$15/$U$15)</f>
        <v>0.70000000000000007</v>
      </c>
      <c r="W6" s="26">
        <v>-1</v>
      </c>
      <c r="X6" s="27">
        <v>-0.2</v>
      </c>
      <c r="Y6" s="27">
        <v>-1</v>
      </c>
      <c r="Z6" s="28">
        <f>X6+Y6*(-$X$15/$Y$15)</f>
        <v>-2.9000000000000004</v>
      </c>
      <c r="AA6" s="26">
        <f t="shared" si="0"/>
        <v>0</v>
      </c>
      <c r="AB6" s="27">
        <v>0</v>
      </c>
      <c r="AC6" s="27">
        <v>0</v>
      </c>
      <c r="AD6" s="28">
        <f>AB6+AC6*(-$AB$15/$AC$15)</f>
        <v>0</v>
      </c>
      <c r="AE6" s="26">
        <f t="shared" ref="AE6:AE9" si="2">W6+AA6</f>
        <v>-1</v>
      </c>
      <c r="AF6" s="27">
        <v>0</v>
      </c>
      <c r="AG6" s="27">
        <v>-1</v>
      </c>
      <c r="AH6" s="28">
        <f t="shared" ref="AH6:AI16" si="3">AF6+AG6*(-$AF$15/$AG$15)</f>
        <v>-2.1</v>
      </c>
      <c r="AI6" s="28">
        <v>0</v>
      </c>
      <c r="AJ6" s="87"/>
      <c r="AK6" s="30" t="s">
        <v>39</v>
      </c>
      <c r="AL6" s="19" t="s">
        <v>40</v>
      </c>
      <c r="AM6" s="31">
        <v>298.14999999999998</v>
      </c>
      <c r="AN6" s="31" t="s">
        <v>41</v>
      </c>
    </row>
    <row r="7" spans="2:40" ht="19.2" x14ac:dyDescent="0.4">
      <c r="B7" s="20" t="s">
        <v>42</v>
      </c>
      <c r="C7" s="21">
        <f>AA27</f>
        <v>-354.75</v>
      </c>
      <c r="D7" s="21">
        <f>AD27</f>
        <v>301.07209335522253</v>
      </c>
      <c r="E7" s="22">
        <v>3500</v>
      </c>
      <c r="F7" s="21">
        <f>(D7+E7)/(-C7)-AD5</f>
        <v>11.439790960832198</v>
      </c>
      <c r="G7" s="23">
        <f t="shared" si="1"/>
        <v>8.741418470178533E-2</v>
      </c>
      <c r="I7" s="29" t="s">
        <v>43</v>
      </c>
      <c r="J7" s="24">
        <v>-111.34</v>
      </c>
      <c r="K7" s="29">
        <v>5</v>
      </c>
      <c r="L7" s="25">
        <v>0</v>
      </c>
      <c r="M7" s="25">
        <v>1</v>
      </c>
      <c r="N7" s="25">
        <v>3</v>
      </c>
      <c r="O7" s="25">
        <v>1</v>
      </c>
      <c r="P7" s="25">
        <v>0</v>
      </c>
      <c r="Q7" s="25">
        <v>0</v>
      </c>
      <c r="R7" s="25">
        <v>0</v>
      </c>
      <c r="S7" s="26">
        <v>0</v>
      </c>
      <c r="T7" s="27">
        <v>0</v>
      </c>
      <c r="U7" s="27">
        <v>0</v>
      </c>
      <c r="V7" s="28">
        <f>T7+U7*(-$T$15/$U$15)</f>
        <v>0</v>
      </c>
      <c r="W7" s="26">
        <v>1</v>
      </c>
      <c r="X7" s="27">
        <v>0</v>
      </c>
      <c r="Y7" s="27">
        <v>1</v>
      </c>
      <c r="Z7" s="28">
        <f>X7+Y7*(-$X$15/$Y$15)</f>
        <v>2.7</v>
      </c>
      <c r="AA7" s="26">
        <f t="shared" si="0"/>
        <v>1</v>
      </c>
      <c r="AB7" s="27">
        <v>0</v>
      </c>
      <c r="AC7" s="27">
        <v>1</v>
      </c>
      <c r="AD7" s="28">
        <f>AB7+AC7*(-$AB$15/$AC$15)</f>
        <v>0.52500000000000002</v>
      </c>
      <c r="AE7" s="26">
        <v>0</v>
      </c>
      <c r="AF7" s="27">
        <v>0</v>
      </c>
      <c r="AG7" s="27">
        <v>1</v>
      </c>
      <c r="AH7" s="28">
        <f t="shared" si="3"/>
        <v>2.1</v>
      </c>
      <c r="AI7" s="28">
        <v>0</v>
      </c>
      <c r="AJ7" s="87"/>
      <c r="AK7" s="27"/>
      <c r="AL7" s="27"/>
      <c r="AM7" s="27"/>
      <c r="AN7" s="27"/>
    </row>
    <row r="8" spans="2:40" ht="18.600000000000001" x14ac:dyDescent="0.4">
      <c r="B8" s="20" t="s">
        <v>3</v>
      </c>
      <c r="C8" s="21">
        <f>AE27</f>
        <v>-415.59000000000003</v>
      </c>
      <c r="D8" s="21">
        <f>AH27</f>
        <v>303.90184335522252</v>
      </c>
      <c r="E8" s="22">
        <v>3500</v>
      </c>
      <c r="F8" s="21">
        <f>(D8+E8)/(-C8)-AD6</f>
        <v>9.1530158169234639</v>
      </c>
      <c r="G8" s="23">
        <f t="shared" ref="G8" si="4">1/F8</f>
        <v>0.10925360777275732</v>
      </c>
      <c r="I8" s="29" t="s">
        <v>44</v>
      </c>
      <c r="J8" s="24">
        <v>16.399999999999999</v>
      </c>
      <c r="K8" s="29">
        <v>0</v>
      </c>
      <c r="L8" s="25">
        <v>0</v>
      </c>
      <c r="M8" s="25">
        <v>0</v>
      </c>
      <c r="N8" s="25">
        <v>2</v>
      </c>
      <c r="O8" s="25">
        <v>0</v>
      </c>
      <c r="P8" s="25">
        <v>0</v>
      </c>
      <c r="Q8" s="25">
        <v>0</v>
      </c>
      <c r="R8" s="25">
        <v>0</v>
      </c>
      <c r="S8" s="26">
        <v>-1.5</v>
      </c>
      <c r="T8" s="27">
        <v>0</v>
      </c>
      <c r="U8" s="27">
        <v>0</v>
      </c>
      <c r="V8" s="28">
        <f>T8+U8*(-$T$15/$U$15)</f>
        <v>0</v>
      </c>
      <c r="W8" s="26">
        <v>-0.5</v>
      </c>
      <c r="X8" s="27">
        <v>0</v>
      </c>
      <c r="Y8" s="27">
        <v>0</v>
      </c>
      <c r="Z8" s="28">
        <f>X8+Y8*(-$X$15/$Y$15)</f>
        <v>0</v>
      </c>
      <c r="AA8" s="26">
        <f t="shared" ref="AA8" si="5">S8+W8</f>
        <v>-2</v>
      </c>
      <c r="AB8" s="27">
        <v>0</v>
      </c>
      <c r="AC8" s="27">
        <v>0</v>
      </c>
      <c r="AD8" s="28">
        <f>AB8+AC8*(-$AB$15/$AC$15)</f>
        <v>0</v>
      </c>
      <c r="AE8" s="26">
        <v>0</v>
      </c>
      <c r="AF8" s="27">
        <v>0</v>
      </c>
      <c r="AG8" s="27">
        <v>0</v>
      </c>
      <c r="AH8" s="28">
        <f t="shared" si="3"/>
        <v>0</v>
      </c>
      <c r="AI8" s="28">
        <f t="shared" si="3"/>
        <v>0</v>
      </c>
      <c r="AJ8" s="87"/>
    </row>
    <row r="9" spans="2:40" ht="19.2" x14ac:dyDescent="0.4">
      <c r="I9" s="35" t="s">
        <v>45</v>
      </c>
      <c r="J9" s="24">
        <v>-586.70000000000005</v>
      </c>
      <c r="K9" s="29">
        <v>4</v>
      </c>
      <c r="L9" s="25">
        <v>1</v>
      </c>
      <c r="M9" s="25">
        <v>1</v>
      </c>
      <c r="N9" s="25">
        <v>3</v>
      </c>
      <c r="O9" s="25">
        <v>0</v>
      </c>
      <c r="P9" s="25">
        <v>0</v>
      </c>
      <c r="Q9" s="25">
        <v>0</v>
      </c>
      <c r="R9" s="25">
        <v>-1</v>
      </c>
      <c r="S9" s="26">
        <v>0</v>
      </c>
      <c r="T9" s="27">
        <v>-1</v>
      </c>
      <c r="U9" s="27">
        <v>0</v>
      </c>
      <c r="V9" s="28">
        <f>T9+U9*(-$T$15/$U$15)</f>
        <v>-1</v>
      </c>
      <c r="W9" s="26">
        <v>0</v>
      </c>
      <c r="X9" s="27">
        <v>-1</v>
      </c>
      <c r="Y9" s="27">
        <v>0</v>
      </c>
      <c r="Z9" s="28">
        <f>X9+Y9*(-$X$15/$Y$15)</f>
        <v>-1</v>
      </c>
      <c r="AA9" s="26">
        <f t="shared" si="0"/>
        <v>0</v>
      </c>
      <c r="AB9" s="27">
        <v>-1</v>
      </c>
      <c r="AC9" s="27">
        <v>0</v>
      </c>
      <c r="AD9" s="28">
        <f>AB9+AC9*(-$AB$15/$AC$15)</f>
        <v>-1</v>
      </c>
      <c r="AE9" s="26">
        <f t="shared" si="2"/>
        <v>0</v>
      </c>
      <c r="AF9" s="27">
        <v>-1</v>
      </c>
      <c r="AG9" s="27">
        <v>0</v>
      </c>
      <c r="AH9" s="28">
        <f t="shared" si="3"/>
        <v>-1</v>
      </c>
      <c r="AI9" s="28">
        <v>1</v>
      </c>
      <c r="AJ9" s="87"/>
    </row>
    <row r="10" spans="2:40" ht="18.600000000000001" x14ac:dyDescent="0.4">
      <c r="I10" s="35" t="s">
        <v>46</v>
      </c>
      <c r="J10" s="24">
        <v>0</v>
      </c>
      <c r="K10" s="29">
        <v>0</v>
      </c>
      <c r="L10" s="25">
        <v>0</v>
      </c>
      <c r="M10" s="25">
        <v>0</v>
      </c>
      <c r="N10" s="25">
        <v>0</v>
      </c>
      <c r="O10" s="25">
        <v>2</v>
      </c>
      <c r="P10" s="25">
        <v>0</v>
      </c>
      <c r="Q10" s="25">
        <v>0</v>
      </c>
      <c r="R10" s="25">
        <v>0</v>
      </c>
      <c r="S10" s="26">
        <v>0</v>
      </c>
      <c r="T10" s="27">
        <v>0</v>
      </c>
      <c r="U10" s="27">
        <v>0</v>
      </c>
      <c r="V10" s="28">
        <v>0</v>
      </c>
      <c r="W10" s="26">
        <v>0</v>
      </c>
      <c r="X10" s="27">
        <v>0</v>
      </c>
      <c r="Y10" s="27">
        <v>0</v>
      </c>
      <c r="Z10" s="28">
        <v>0</v>
      </c>
      <c r="AA10" s="26">
        <v>0</v>
      </c>
      <c r="AB10" s="27">
        <v>0</v>
      </c>
      <c r="AC10" s="27">
        <v>0</v>
      </c>
      <c r="AD10" s="28">
        <v>0</v>
      </c>
      <c r="AE10" s="26">
        <v>1</v>
      </c>
      <c r="AF10" s="27">
        <v>0</v>
      </c>
      <c r="AG10" s="27">
        <v>0</v>
      </c>
      <c r="AH10" s="28">
        <f t="shared" si="3"/>
        <v>0</v>
      </c>
      <c r="AI10" s="28">
        <v>0</v>
      </c>
      <c r="AJ10" s="87"/>
    </row>
    <row r="11" spans="2:40" ht="18.600000000000001" x14ac:dyDescent="0.4">
      <c r="I11" s="35" t="s">
        <v>47</v>
      </c>
      <c r="J11" s="24">
        <v>0</v>
      </c>
      <c r="K11" s="29">
        <v>0</v>
      </c>
      <c r="L11" s="25">
        <v>0</v>
      </c>
      <c r="M11" s="25">
        <v>0</v>
      </c>
      <c r="N11" s="25">
        <v>0</v>
      </c>
      <c r="O11" s="25">
        <v>0</v>
      </c>
      <c r="P11" s="25">
        <v>0</v>
      </c>
      <c r="Q11" s="25">
        <v>0</v>
      </c>
      <c r="R11" s="25">
        <v>0</v>
      </c>
      <c r="S11" s="26">
        <v>0</v>
      </c>
      <c r="T11" s="27">
        <v>0</v>
      </c>
      <c r="U11" s="27">
        <v>0</v>
      </c>
      <c r="V11" s="28">
        <v>0</v>
      </c>
      <c r="W11" s="26">
        <v>0</v>
      </c>
      <c r="X11" s="27">
        <v>0</v>
      </c>
      <c r="Y11" s="27">
        <v>0</v>
      </c>
      <c r="Z11" s="28">
        <v>0</v>
      </c>
      <c r="AA11" s="26">
        <v>0</v>
      </c>
      <c r="AB11" s="27">
        <v>0</v>
      </c>
      <c r="AC11" s="27">
        <v>0</v>
      </c>
      <c r="AD11" s="28">
        <v>0</v>
      </c>
      <c r="AE11" s="26">
        <v>0</v>
      </c>
      <c r="AF11" s="27">
        <v>0</v>
      </c>
      <c r="AG11" s="27">
        <v>0</v>
      </c>
      <c r="AH11" s="28">
        <f t="shared" si="3"/>
        <v>0</v>
      </c>
      <c r="AI11" s="28">
        <f t="shared" si="3"/>
        <v>0</v>
      </c>
      <c r="AJ11" s="87"/>
    </row>
    <row r="12" spans="2:40" ht="18.600000000000001" x14ac:dyDescent="0.4">
      <c r="I12" s="35" t="s">
        <v>48</v>
      </c>
      <c r="J12" s="24">
        <v>0</v>
      </c>
      <c r="K12" s="29">
        <v>0</v>
      </c>
      <c r="L12" s="25">
        <v>0</v>
      </c>
      <c r="M12" s="25">
        <v>0</v>
      </c>
      <c r="N12" s="25">
        <v>0</v>
      </c>
      <c r="O12" s="25">
        <v>0</v>
      </c>
      <c r="P12" s="25">
        <v>0</v>
      </c>
      <c r="Q12" s="25">
        <v>0</v>
      </c>
      <c r="R12" s="25">
        <v>0</v>
      </c>
      <c r="S12" s="26">
        <v>0</v>
      </c>
      <c r="T12" s="27">
        <v>0</v>
      </c>
      <c r="U12" s="27">
        <v>0</v>
      </c>
      <c r="V12" s="28">
        <v>0</v>
      </c>
      <c r="W12" s="26">
        <v>0</v>
      </c>
      <c r="X12" s="27">
        <v>0</v>
      </c>
      <c r="Y12" s="27">
        <v>0</v>
      </c>
      <c r="Z12" s="28">
        <v>0</v>
      </c>
      <c r="AA12" s="26">
        <v>0</v>
      </c>
      <c r="AB12" s="27">
        <v>0</v>
      </c>
      <c r="AC12" s="27">
        <v>0</v>
      </c>
      <c r="AD12" s="28">
        <v>0</v>
      </c>
      <c r="AE12" s="26">
        <v>0</v>
      </c>
      <c r="AF12" s="27">
        <v>0</v>
      </c>
      <c r="AG12" s="27">
        <v>0</v>
      </c>
      <c r="AH12" s="28">
        <f t="shared" si="3"/>
        <v>0</v>
      </c>
      <c r="AI12" s="28">
        <f t="shared" si="3"/>
        <v>0</v>
      </c>
      <c r="AJ12" s="87"/>
    </row>
    <row r="13" spans="2:40" ht="20.399999999999999" x14ac:dyDescent="0.4">
      <c r="B13" s="61" t="s">
        <v>49</v>
      </c>
      <c r="C13" s="60">
        <v>16.691904999999998</v>
      </c>
      <c r="I13" s="29" t="s">
        <v>50</v>
      </c>
      <c r="J13" s="24">
        <v>-237.18</v>
      </c>
      <c r="K13" s="29">
        <v>-2</v>
      </c>
      <c r="L13" s="25">
        <v>0</v>
      </c>
      <c r="M13" s="25">
        <v>2</v>
      </c>
      <c r="N13" s="25">
        <v>1</v>
      </c>
      <c r="O13" s="25">
        <v>0</v>
      </c>
      <c r="P13" s="25">
        <v>0</v>
      </c>
      <c r="Q13" s="25">
        <v>0</v>
      </c>
      <c r="R13" s="25">
        <v>0</v>
      </c>
      <c r="S13" s="26">
        <v>1</v>
      </c>
      <c r="T13" s="27">
        <v>2.5</v>
      </c>
      <c r="U13" s="27">
        <v>-2</v>
      </c>
      <c r="V13" s="28">
        <f>T13+U13*(-$T$15/$U$15)</f>
        <v>1.0999999999999999</v>
      </c>
      <c r="W13" s="26">
        <v>0</v>
      </c>
      <c r="X13" s="27">
        <v>2.9</v>
      </c>
      <c r="Y13" s="27">
        <v>-1</v>
      </c>
      <c r="Z13" s="28">
        <f>X13+Y13*(-$X$15/$Y$15)</f>
        <v>0.19999999999999973</v>
      </c>
      <c r="AA13" s="26">
        <f t="shared" si="0"/>
        <v>1</v>
      </c>
      <c r="AB13" s="27">
        <v>2.5</v>
      </c>
      <c r="AC13" s="27">
        <v>-3</v>
      </c>
      <c r="AD13" s="28">
        <f>AB13+AC13*(-$AB$15/$AC$15)</f>
        <v>0.92499999999999982</v>
      </c>
      <c r="AE13" s="26">
        <v>2</v>
      </c>
      <c r="AF13" s="27">
        <v>2.5</v>
      </c>
      <c r="AG13" s="27">
        <v>-1</v>
      </c>
      <c r="AH13" s="28">
        <f t="shared" si="3"/>
        <v>0.39999999999999991</v>
      </c>
      <c r="AI13" s="28">
        <f>-2.5</f>
        <v>-2.5</v>
      </c>
      <c r="AJ13" s="87"/>
    </row>
    <row r="14" spans="2:40" ht="18" x14ac:dyDescent="0.3">
      <c r="B14" s="31"/>
      <c r="E14" s="34"/>
      <c r="I14" s="29" t="s">
        <v>51</v>
      </c>
      <c r="J14" s="24">
        <v>0</v>
      </c>
      <c r="K14" s="29">
        <v>1</v>
      </c>
      <c r="L14" s="25">
        <v>0</v>
      </c>
      <c r="M14" s="25">
        <v>1</v>
      </c>
      <c r="N14" s="25">
        <v>0</v>
      </c>
      <c r="O14" s="25">
        <v>0</v>
      </c>
      <c r="P14" s="25">
        <v>0</v>
      </c>
      <c r="Q14" s="25">
        <v>0</v>
      </c>
      <c r="R14" s="25">
        <v>1</v>
      </c>
      <c r="S14" s="26">
        <v>1</v>
      </c>
      <c r="T14" s="27">
        <v>-5.2</v>
      </c>
      <c r="U14" s="27">
        <v>6</v>
      </c>
      <c r="V14" s="28">
        <f>T14+U14*(-$T$15/$U$15)</f>
        <v>-1</v>
      </c>
      <c r="W14" s="26">
        <v>0</v>
      </c>
      <c r="X14" s="27">
        <v>-6.4</v>
      </c>
      <c r="Y14" s="27">
        <v>2</v>
      </c>
      <c r="Z14" s="28">
        <f>X14+Y14*(-$X$15/$Y$15)</f>
        <v>-1</v>
      </c>
      <c r="AA14" s="26">
        <v>0</v>
      </c>
      <c r="AB14" s="27">
        <v>-5.2</v>
      </c>
      <c r="AC14" s="27">
        <v>8</v>
      </c>
      <c r="AD14" s="28">
        <f>AB14+AC14*(-$AB$15/$AC$15)</f>
        <v>-1</v>
      </c>
      <c r="AE14" s="26">
        <v>0</v>
      </c>
      <c r="AF14" s="27">
        <v>-5.2</v>
      </c>
      <c r="AG14" s="27">
        <v>2</v>
      </c>
      <c r="AH14" s="28">
        <f t="shared" si="3"/>
        <v>-1</v>
      </c>
      <c r="AI14" s="28">
        <v>5</v>
      </c>
      <c r="AJ14" s="87"/>
    </row>
    <row r="15" spans="2:40" ht="18" x14ac:dyDescent="0.3">
      <c r="B15" s="31"/>
      <c r="E15" s="34"/>
      <c r="I15" s="29" t="s">
        <v>52</v>
      </c>
      <c r="J15" s="24">
        <v>0</v>
      </c>
      <c r="K15" s="29">
        <v>-1</v>
      </c>
      <c r="L15" s="25">
        <v>0</v>
      </c>
      <c r="M15" s="25">
        <v>0</v>
      </c>
      <c r="N15" s="25">
        <v>0</v>
      </c>
      <c r="O15" s="25">
        <v>0</v>
      </c>
      <c r="P15" s="25">
        <v>0</v>
      </c>
      <c r="Q15" s="25">
        <v>0</v>
      </c>
      <c r="R15" s="25">
        <v>-1</v>
      </c>
      <c r="S15" s="26">
        <v>0</v>
      </c>
      <c r="T15" s="27">
        <v>-4.2</v>
      </c>
      <c r="U15" s="27">
        <v>6</v>
      </c>
      <c r="V15" s="28">
        <f>T15+U15*(-$T$15/$U$15)</f>
        <v>0</v>
      </c>
      <c r="W15" s="26">
        <v>0</v>
      </c>
      <c r="X15" s="27">
        <v>-5.4</v>
      </c>
      <c r="Y15" s="27">
        <v>2</v>
      </c>
      <c r="Z15" s="28">
        <f>X15+Y15*(-$X$15/$Y$15)</f>
        <v>0</v>
      </c>
      <c r="AA15" s="26">
        <f t="shared" si="0"/>
        <v>0</v>
      </c>
      <c r="AB15" s="27">
        <v>-4.2</v>
      </c>
      <c r="AC15" s="27">
        <v>8</v>
      </c>
      <c r="AD15" s="28">
        <f>AB15+AC15*(-$AB$15/$AC$15)</f>
        <v>0</v>
      </c>
      <c r="AE15" s="26">
        <f t="shared" ref="AE15:AE16" si="6">W15+AA15</f>
        <v>0</v>
      </c>
      <c r="AF15" s="27">
        <v>-4.2</v>
      </c>
      <c r="AG15" s="27">
        <v>2</v>
      </c>
      <c r="AH15" s="28">
        <f t="shared" si="3"/>
        <v>0</v>
      </c>
      <c r="AI15" s="28">
        <v>4.2</v>
      </c>
      <c r="AJ15" s="87"/>
    </row>
    <row r="16" spans="2:40" ht="19.8" thickBot="1" x14ac:dyDescent="0.45">
      <c r="B16" s="6" t="s">
        <v>8</v>
      </c>
      <c r="C16" s="7" t="s">
        <v>9</v>
      </c>
      <c r="D16" s="7" t="s">
        <v>10</v>
      </c>
      <c r="E16" s="7" t="s">
        <v>11</v>
      </c>
      <c r="F16" s="8" t="s">
        <v>12</v>
      </c>
      <c r="G16" s="9" t="s">
        <v>13</v>
      </c>
      <c r="I16" s="37" t="s">
        <v>53</v>
      </c>
      <c r="J16" s="38">
        <v>-67</v>
      </c>
      <c r="K16" s="37">
        <v>-0.2</v>
      </c>
      <c r="L16" s="39">
        <v>1</v>
      </c>
      <c r="M16" s="39">
        <v>1.8</v>
      </c>
      <c r="N16" s="39">
        <v>0.5</v>
      </c>
      <c r="O16" s="39">
        <v>0.2</v>
      </c>
      <c r="P16" s="39">
        <v>0</v>
      </c>
      <c r="Q16" s="39">
        <v>0</v>
      </c>
      <c r="R16" s="39">
        <v>0</v>
      </c>
      <c r="S16" s="40">
        <v>0</v>
      </c>
      <c r="T16" s="41">
        <v>1</v>
      </c>
      <c r="U16" s="41">
        <v>0</v>
      </c>
      <c r="V16" s="42">
        <f>T16+U16*(-$T$15/$U$15)</f>
        <v>1</v>
      </c>
      <c r="W16" s="40">
        <v>0</v>
      </c>
      <c r="X16" s="41">
        <v>1</v>
      </c>
      <c r="Y16" s="41">
        <v>0</v>
      </c>
      <c r="Z16" s="42">
        <f>X16+Y16*(-$X$15/$Y$15)</f>
        <v>1</v>
      </c>
      <c r="AA16" s="41">
        <f t="shared" si="0"/>
        <v>0</v>
      </c>
      <c r="AB16" s="41">
        <v>1</v>
      </c>
      <c r="AC16" s="41">
        <v>0</v>
      </c>
      <c r="AD16" s="42">
        <f>AB16+AC16*(-$AB$15/$AC$15)</f>
        <v>1</v>
      </c>
      <c r="AE16" s="41">
        <f t="shared" si="6"/>
        <v>0</v>
      </c>
      <c r="AF16" s="41">
        <v>1</v>
      </c>
      <c r="AG16" s="41">
        <v>0</v>
      </c>
      <c r="AH16" s="42">
        <f t="shared" si="3"/>
        <v>1</v>
      </c>
      <c r="AI16" s="42">
        <v>-1</v>
      </c>
      <c r="AJ16" s="87"/>
    </row>
    <row r="17" spans="2:36" ht="15.6" x14ac:dyDescent="0.3">
      <c r="B17" s="20" t="s">
        <v>33</v>
      </c>
      <c r="C17" s="21">
        <v>-136.9</v>
      </c>
      <c r="D17" s="21">
        <f t="shared" ref="D17:E19" si="7">D5</f>
        <v>300.12884335522256</v>
      </c>
      <c r="E17" s="22">
        <f t="shared" si="7"/>
        <v>3500</v>
      </c>
      <c r="F17" s="21">
        <f>(D17+E17)/(-C17)-V5</f>
        <v>28.658428366363932</v>
      </c>
      <c r="G17" s="23">
        <f>1/F17</f>
        <v>3.4893748785390075E-2</v>
      </c>
      <c r="J17" s="219" t="s">
        <v>54</v>
      </c>
      <c r="K17" s="222" t="s">
        <v>55</v>
      </c>
      <c r="R17" s="43" t="s">
        <v>56</v>
      </c>
      <c r="S17" s="44">
        <f t="shared" ref="S17:AD17" si="8">SUMPRODUCT($L$5:$L$16,S5:S16)</f>
        <v>0</v>
      </c>
      <c r="T17" s="44">
        <f t="shared" si="8"/>
        <v>0</v>
      </c>
      <c r="U17" s="44">
        <f t="shared" si="8"/>
        <v>0</v>
      </c>
      <c r="V17" s="44">
        <f t="shared" si="8"/>
        <v>0</v>
      </c>
      <c r="W17" s="44">
        <f t="shared" si="8"/>
        <v>0</v>
      </c>
      <c r="X17" s="44">
        <f t="shared" si="8"/>
        <v>0</v>
      </c>
      <c r="Y17" s="44">
        <f t="shared" si="8"/>
        <v>0</v>
      </c>
      <c r="Z17" s="44">
        <f t="shared" si="8"/>
        <v>0</v>
      </c>
      <c r="AA17" s="44">
        <f t="shared" si="8"/>
        <v>0</v>
      </c>
      <c r="AB17" s="44">
        <f t="shared" si="8"/>
        <v>0</v>
      </c>
      <c r="AC17" s="44">
        <f t="shared" si="8"/>
        <v>0</v>
      </c>
      <c r="AD17" s="45">
        <f t="shared" si="8"/>
        <v>0</v>
      </c>
      <c r="AE17" s="44">
        <f>SUMPRODUCT($L$4:$L$16,AE4:AE16)</f>
        <v>0</v>
      </c>
      <c r="AF17" s="44">
        <f>SUMPRODUCT($L$4:$L$16,AF4:AF16)</f>
        <v>0</v>
      </c>
      <c r="AG17" s="44">
        <f>SUMPRODUCT($L$4:$L$16,AG4:AG16)</f>
        <v>0</v>
      </c>
      <c r="AH17" s="45">
        <f>SUMPRODUCT($L$4:$L$16,AH4:AH16)</f>
        <v>0</v>
      </c>
      <c r="AI17" s="45">
        <f>SUMPRODUCT($L$4:$L$16,AI4:AI16)</f>
        <v>0</v>
      </c>
      <c r="AJ17" s="27"/>
    </row>
    <row r="18" spans="2:36" ht="15.6" x14ac:dyDescent="0.3">
      <c r="B18" s="20" t="s">
        <v>1</v>
      </c>
      <c r="C18" s="21">
        <f>C6</f>
        <v>-87.34</v>
      </c>
      <c r="D18" s="21">
        <f t="shared" si="7"/>
        <v>304.9798433552225</v>
      </c>
      <c r="E18" s="22">
        <f t="shared" si="7"/>
        <v>3500</v>
      </c>
      <c r="F18" s="21">
        <f>(D18+E18)/(-C18)-Z6</f>
        <v>46.465145905143373</v>
      </c>
      <c r="G18" s="23">
        <f t="shared" ref="G18:G19" si="9">1/F18</f>
        <v>2.1521507799447302E-2</v>
      </c>
      <c r="J18" s="220"/>
      <c r="K18" s="223"/>
      <c r="R18" s="46" t="s">
        <v>57</v>
      </c>
      <c r="S18" s="44">
        <f t="shared" ref="S18:AD18" si="10">SUMPRODUCT($M$5:$M$16,S5:S16)</f>
        <v>1</v>
      </c>
      <c r="T18" s="44">
        <f t="shared" si="10"/>
        <v>-2.2204460492503131E-16</v>
      </c>
      <c r="U18" s="44">
        <f t="shared" si="10"/>
        <v>0</v>
      </c>
      <c r="V18" s="44">
        <f t="shared" si="10"/>
        <v>-2.2204460492503131E-16</v>
      </c>
      <c r="W18" s="44">
        <f t="shared" si="10"/>
        <v>0</v>
      </c>
      <c r="X18" s="44">
        <f t="shared" si="10"/>
        <v>-6.6613381477509392E-16</v>
      </c>
      <c r="Y18" s="44">
        <f t="shared" si="10"/>
        <v>0</v>
      </c>
      <c r="Z18" s="44">
        <f t="shared" si="10"/>
        <v>-6.6613381477509392E-16</v>
      </c>
      <c r="AA18" s="44">
        <f t="shared" si="10"/>
        <v>0</v>
      </c>
      <c r="AB18" s="44">
        <f t="shared" si="10"/>
        <v>-2.2204460492503131E-16</v>
      </c>
      <c r="AC18" s="44">
        <f t="shared" si="10"/>
        <v>0</v>
      </c>
      <c r="AD18" s="47">
        <f t="shared" si="10"/>
        <v>-6.6613381477509392E-16</v>
      </c>
      <c r="AE18" s="44">
        <f>SUMPRODUCT($M$4:$M$16,AE4:AE16)</f>
        <v>0</v>
      </c>
      <c r="AF18" s="44">
        <f>SUMPRODUCT($M$4:$M$16,AF4:AF16)</f>
        <v>-2.2204460492503131E-16</v>
      </c>
      <c r="AG18" s="44">
        <f t="shared" ref="AG18" si="11">SUMPRODUCT($M$5:$M$16,AG5:AG16)</f>
        <v>0</v>
      </c>
      <c r="AH18" s="47">
        <f>SUMPRODUCT($M$4:$M$16,AH4:AH16)</f>
        <v>-2.2204460492503131E-16</v>
      </c>
      <c r="AI18" s="47">
        <f>SUMPRODUCT($M$4:$M$16,AI4:AI16)</f>
        <v>-2.2204460492503131E-16</v>
      </c>
      <c r="AJ18" s="27"/>
    </row>
    <row r="19" spans="2:36" ht="15.6" x14ac:dyDescent="0.3">
      <c r="B19" s="20" t="s">
        <v>58</v>
      </c>
      <c r="C19" s="21">
        <f>C17+C18</f>
        <v>-224.24</v>
      </c>
      <c r="D19" s="21">
        <f t="shared" si="7"/>
        <v>301.07209335522253</v>
      </c>
      <c r="E19" s="22">
        <f t="shared" si="7"/>
        <v>3500</v>
      </c>
      <c r="F19" s="21">
        <f>(D19+E19)/(-C19)-AD5</f>
        <v>17.675910155883084</v>
      </c>
      <c r="G19" s="23">
        <f t="shared" si="9"/>
        <v>5.6574173051404053E-2</v>
      </c>
      <c r="J19" s="220"/>
      <c r="K19" s="223"/>
      <c r="R19" s="46" t="s">
        <v>59</v>
      </c>
      <c r="S19" s="44">
        <f t="shared" ref="S19:AD19" si="12">SUMPRODUCT($N$5:$N$16,S5:S16)</f>
        <v>0</v>
      </c>
      <c r="T19" s="44">
        <f t="shared" si="12"/>
        <v>0</v>
      </c>
      <c r="U19" s="44">
        <f t="shared" si="12"/>
        <v>0</v>
      </c>
      <c r="V19" s="44">
        <f t="shared" si="12"/>
        <v>0</v>
      </c>
      <c r="W19" s="44">
        <f t="shared" si="12"/>
        <v>0</v>
      </c>
      <c r="X19" s="44">
        <f t="shared" si="12"/>
        <v>0</v>
      </c>
      <c r="Y19" s="44">
        <f t="shared" si="12"/>
        <v>0</v>
      </c>
      <c r="Z19" s="44">
        <f t="shared" si="12"/>
        <v>4.4408920985006262E-16</v>
      </c>
      <c r="AA19" s="44">
        <f t="shared" si="12"/>
        <v>0</v>
      </c>
      <c r="AB19" s="44">
        <f t="shared" si="12"/>
        <v>0</v>
      </c>
      <c r="AC19" s="44">
        <f t="shared" si="12"/>
        <v>0</v>
      </c>
      <c r="AD19" s="47">
        <f t="shared" si="12"/>
        <v>0</v>
      </c>
      <c r="AE19" s="44">
        <f>SUMPRODUCT($N$4:$N$16,AE4:AE16)</f>
        <v>0</v>
      </c>
      <c r="AF19" s="44">
        <f>SUMPRODUCT($N$4:$N$16,AF4:AF16)</f>
        <v>0</v>
      </c>
      <c r="AG19" s="44">
        <f t="shared" ref="AG19" si="13">SUMPRODUCT($N$5:$N$16,AG5:AG16)</f>
        <v>0</v>
      </c>
      <c r="AH19" s="47">
        <f>SUMPRODUCT($N$4:$N$16,AH4:AH16)</f>
        <v>4.4408920985006262E-16</v>
      </c>
      <c r="AI19" s="47">
        <f>SUMPRODUCT($N$4:$N$16,AI4:AI16)</f>
        <v>0</v>
      </c>
      <c r="AJ19" s="27"/>
    </row>
    <row r="20" spans="2:36" ht="15.6" x14ac:dyDescent="0.3">
      <c r="B20" s="58"/>
      <c r="C20" s="58"/>
      <c r="D20" s="19"/>
      <c r="E20" s="19"/>
      <c r="F20" s="36"/>
      <c r="J20" s="220"/>
      <c r="K20" s="223"/>
      <c r="R20" s="46" t="s">
        <v>60</v>
      </c>
      <c r="S20" s="44">
        <f t="shared" ref="S20:AD20" si="14">SUMPRODUCT($O$5:$O$16,S5:S16)</f>
        <v>0</v>
      </c>
      <c r="T20" s="44">
        <f t="shared" si="14"/>
        <v>0</v>
      </c>
      <c r="U20" s="44">
        <f t="shared" si="14"/>
        <v>0</v>
      </c>
      <c r="V20" s="44">
        <f t="shared" si="14"/>
        <v>-5.5511151231257827E-17</v>
      </c>
      <c r="W20" s="44">
        <f t="shared" si="14"/>
        <v>0</v>
      </c>
      <c r="X20" s="44">
        <f t="shared" si="14"/>
        <v>0</v>
      </c>
      <c r="Y20" s="44">
        <f t="shared" si="14"/>
        <v>0</v>
      </c>
      <c r="Z20" s="44">
        <f t="shared" si="14"/>
        <v>-1.6653345369377348E-16</v>
      </c>
      <c r="AA20" s="44">
        <f t="shared" si="14"/>
        <v>0</v>
      </c>
      <c r="AB20" s="44">
        <f t="shared" si="14"/>
        <v>0</v>
      </c>
      <c r="AC20" s="44">
        <f t="shared" si="14"/>
        <v>0</v>
      </c>
      <c r="AD20" s="47">
        <f t="shared" si="14"/>
        <v>-5.5511151231257827E-17</v>
      </c>
      <c r="AE20" s="44">
        <f>SUMPRODUCT($O$4:$O$16,AE4:AE16)</f>
        <v>0</v>
      </c>
      <c r="AF20" s="44">
        <f>SUMPRODUCT($O$4:$O$16,AF4:AF16)</f>
        <v>0</v>
      </c>
      <c r="AG20" s="44">
        <f t="shared" ref="AG20" si="15">SUMPRODUCT($O$5:$O$16,AG5:AG16)</f>
        <v>0</v>
      </c>
      <c r="AH20" s="47">
        <f>SUMPRODUCT($O$4:$O$16,AH4:AH16)</f>
        <v>-1.6653345369377348E-16</v>
      </c>
      <c r="AI20" s="47">
        <f>SUMPRODUCT($O$4:$O$16,AI4:AI16)</f>
        <v>0</v>
      </c>
      <c r="AJ20" s="27"/>
    </row>
    <row r="21" spans="2:36" ht="15.6" x14ac:dyDescent="0.3">
      <c r="B21" s="58"/>
      <c r="C21" s="58"/>
      <c r="D21" s="19"/>
      <c r="E21" s="19"/>
      <c r="F21" s="19"/>
      <c r="G21" s="59"/>
      <c r="J21" s="220"/>
      <c r="K21" s="223"/>
      <c r="R21" s="46" t="s">
        <v>61</v>
      </c>
      <c r="S21" s="44">
        <f t="shared" ref="S21:AD21" si="16">SUMPRODUCT($P$5:$P$16,S5:S16)</f>
        <v>0</v>
      </c>
      <c r="T21" s="44">
        <f t="shared" si="16"/>
        <v>0</v>
      </c>
      <c r="U21" s="44">
        <f t="shared" si="16"/>
        <v>0</v>
      </c>
      <c r="V21" s="44">
        <f t="shared" si="16"/>
        <v>0</v>
      </c>
      <c r="W21" s="44">
        <f t="shared" si="16"/>
        <v>0</v>
      </c>
      <c r="X21" s="44">
        <f t="shared" si="16"/>
        <v>0</v>
      </c>
      <c r="Y21" s="44">
        <f t="shared" si="16"/>
        <v>0</v>
      </c>
      <c r="Z21" s="44">
        <f t="shared" si="16"/>
        <v>0</v>
      </c>
      <c r="AA21" s="44">
        <f t="shared" si="16"/>
        <v>0</v>
      </c>
      <c r="AB21" s="44">
        <f t="shared" si="16"/>
        <v>0</v>
      </c>
      <c r="AC21" s="44">
        <f t="shared" si="16"/>
        <v>0</v>
      </c>
      <c r="AD21" s="47">
        <f t="shared" si="16"/>
        <v>0</v>
      </c>
      <c r="AE21" s="44">
        <f>SUMPRODUCT($P$4:$P$16,AE4:AE16)</f>
        <v>0</v>
      </c>
      <c r="AF21" s="44">
        <f>SUMPRODUCT($P$4:$P$16,AF4:AF16)</f>
        <v>0</v>
      </c>
      <c r="AG21" s="44">
        <f t="shared" ref="AG21" si="17">SUMPRODUCT($P$5:$P$16,AG5:AG16)</f>
        <v>0</v>
      </c>
      <c r="AH21" s="47">
        <f>SUMPRODUCT($P$4:$P$16,AH4:AH16)</f>
        <v>0</v>
      </c>
      <c r="AI21" s="47">
        <f>SUMPRODUCT($P$4:$P$16,AI4:AI16)</f>
        <v>0</v>
      </c>
      <c r="AJ21" s="27"/>
    </row>
    <row r="22" spans="2:36" ht="15.6" x14ac:dyDescent="0.3">
      <c r="B22" s="58"/>
      <c r="C22" s="58"/>
      <c r="D22" s="19"/>
      <c r="E22" s="19"/>
      <c r="F22" s="19"/>
      <c r="G22" s="59"/>
      <c r="J22" s="220"/>
      <c r="K22" s="223"/>
      <c r="R22" s="46" t="s">
        <v>62</v>
      </c>
      <c r="S22" s="44">
        <f t="shared" ref="S22:AD22" si="18">SUMPRODUCT($Q$5:$Q$16,S5:S16)</f>
        <v>0</v>
      </c>
      <c r="T22" s="44">
        <f t="shared" si="18"/>
        <v>0</v>
      </c>
      <c r="U22" s="44">
        <f t="shared" si="18"/>
        <v>0</v>
      </c>
      <c r="V22" s="44">
        <f t="shared" si="18"/>
        <v>0</v>
      </c>
      <c r="W22" s="44">
        <f t="shared" si="18"/>
        <v>0</v>
      </c>
      <c r="X22" s="44">
        <f t="shared" si="18"/>
        <v>0</v>
      </c>
      <c r="Y22" s="44">
        <f t="shared" si="18"/>
        <v>0</v>
      </c>
      <c r="Z22" s="44">
        <f t="shared" si="18"/>
        <v>0</v>
      </c>
      <c r="AA22" s="44">
        <f t="shared" si="18"/>
        <v>0</v>
      </c>
      <c r="AB22" s="44">
        <f t="shared" si="18"/>
        <v>0</v>
      </c>
      <c r="AC22" s="44">
        <f t="shared" si="18"/>
        <v>0</v>
      </c>
      <c r="AD22" s="47">
        <f t="shared" si="18"/>
        <v>0</v>
      </c>
      <c r="AE22" s="44">
        <f>SUMPRODUCT($Q$4:$Q$16,AE4:AE16)</f>
        <v>0</v>
      </c>
      <c r="AF22" s="44">
        <f>SUMPRODUCT($Q$4:$Q$16,AF4:AF16)</f>
        <v>0</v>
      </c>
      <c r="AG22" s="44">
        <f t="shared" ref="AG22" si="19">SUMPRODUCT($Q$5:$Q$16,AG5:AG16)</f>
        <v>0</v>
      </c>
      <c r="AH22" s="47">
        <f>SUMPRODUCT($Q$4:$Q$16,AH4:AH16)</f>
        <v>0</v>
      </c>
      <c r="AI22" s="47">
        <f>SUMPRODUCT($Q$4:$Q$16,AI4:AI16)</f>
        <v>0</v>
      </c>
      <c r="AJ22" s="27"/>
    </row>
    <row r="23" spans="2:36" ht="15.6" x14ac:dyDescent="0.3">
      <c r="B23" s="58"/>
      <c r="C23" s="58"/>
      <c r="D23" s="19"/>
      <c r="E23" s="19"/>
      <c r="F23" s="19"/>
      <c r="G23" s="59"/>
      <c r="J23" s="220"/>
      <c r="K23" s="223"/>
      <c r="R23" s="48" t="s">
        <v>23</v>
      </c>
      <c r="S23" s="49">
        <f t="shared" ref="S23:AD23" si="20">SUMPRODUCT($R$5:$R$16,S5:S16)</f>
        <v>1</v>
      </c>
      <c r="T23" s="49">
        <f t="shared" si="20"/>
        <v>0</v>
      </c>
      <c r="U23" s="49">
        <f t="shared" si="20"/>
        <v>0</v>
      </c>
      <c r="V23" s="49">
        <f t="shared" si="20"/>
        <v>0</v>
      </c>
      <c r="W23" s="49">
        <f t="shared" si="20"/>
        <v>0</v>
      </c>
      <c r="X23" s="49">
        <f t="shared" si="20"/>
        <v>0</v>
      </c>
      <c r="Y23" s="49">
        <f t="shared" si="20"/>
        <v>0</v>
      </c>
      <c r="Z23" s="49">
        <f t="shared" si="20"/>
        <v>0</v>
      </c>
      <c r="AA23" s="49">
        <f t="shared" si="20"/>
        <v>0</v>
      </c>
      <c r="AB23" s="49">
        <f t="shared" si="20"/>
        <v>0</v>
      </c>
      <c r="AC23" s="49">
        <f t="shared" si="20"/>
        <v>0</v>
      </c>
      <c r="AD23" s="50">
        <f t="shared" si="20"/>
        <v>0</v>
      </c>
      <c r="AE23" s="49">
        <f>SUMPRODUCT($R$4:$R$16,AE4:AE16)</f>
        <v>0</v>
      </c>
      <c r="AF23" s="49">
        <f>SUMPRODUCT($R$4:$R$16,AF4:AF16)</f>
        <v>0</v>
      </c>
      <c r="AG23" s="49">
        <f t="shared" ref="AG23" si="21">SUMPRODUCT($R$5:$R$16,AG5:AG16)</f>
        <v>0</v>
      </c>
      <c r="AH23" s="50">
        <f>SUMPRODUCT($R$4:$R$16,AH4:AH16)</f>
        <v>0</v>
      </c>
      <c r="AI23" s="50">
        <f>SUMPRODUCT($R$4:$R$16,AI4:AI16)</f>
        <v>0</v>
      </c>
      <c r="AJ23" s="27"/>
    </row>
    <row r="24" spans="2:36" ht="15.6" x14ac:dyDescent="0.3">
      <c r="B24" s="58"/>
      <c r="C24" s="58"/>
      <c r="D24" s="19"/>
      <c r="E24" s="19"/>
      <c r="F24" s="19"/>
      <c r="G24" s="59"/>
      <c r="J24" s="220"/>
      <c r="K24" s="223"/>
      <c r="V24" s="51" t="s">
        <v>63</v>
      </c>
      <c r="Z24" s="51" t="s">
        <v>63</v>
      </c>
      <c r="AD24" s="51" t="s">
        <v>63</v>
      </c>
      <c r="AH24" s="51" t="s">
        <v>63</v>
      </c>
    </row>
    <row r="25" spans="2:36" ht="15.6" x14ac:dyDescent="0.3">
      <c r="B25" s="58"/>
      <c r="C25" s="58"/>
      <c r="D25" s="19"/>
      <c r="E25" s="19"/>
      <c r="F25" s="19"/>
      <c r="G25" s="59"/>
      <c r="J25" s="220"/>
      <c r="K25" s="223"/>
    </row>
    <row r="26" spans="2:36" ht="17.399999999999999" x14ac:dyDescent="0.3">
      <c r="B26" s="58"/>
      <c r="C26" s="58"/>
      <c r="D26" s="19"/>
      <c r="E26" s="19"/>
      <c r="F26" s="19"/>
      <c r="G26" s="59"/>
      <c r="J26" s="220"/>
      <c r="K26" s="223"/>
      <c r="N26" s="225" t="s">
        <v>64</v>
      </c>
      <c r="O26" s="226"/>
      <c r="P26" s="226"/>
      <c r="Q26" s="227"/>
      <c r="R26" s="52" t="s">
        <v>65</v>
      </c>
      <c r="S26" s="53">
        <f t="shared" ref="S26:AD26" si="22">SUMPRODUCT($J$5:$J$16,S5:S16)</f>
        <v>-267.41000000000003</v>
      </c>
      <c r="T26" s="53">
        <f t="shared" si="22"/>
        <v>-67.936000000000035</v>
      </c>
      <c r="U26" s="53">
        <f t="shared" si="22"/>
        <v>468.73</v>
      </c>
      <c r="V26" s="54">
        <f t="shared" si="22"/>
        <v>260.17500000000013</v>
      </c>
      <c r="W26" s="53">
        <f t="shared" si="22"/>
        <v>-87.34</v>
      </c>
      <c r="X26" s="53">
        <f t="shared" si="22"/>
        <v>-161.6819999999999</v>
      </c>
      <c r="Y26" s="53">
        <f t="shared" si="22"/>
        <v>158.04000000000002</v>
      </c>
      <c r="Z26" s="54">
        <f t="shared" si="22"/>
        <v>265.02600000000007</v>
      </c>
      <c r="AA26" s="53">
        <f t="shared" si="22"/>
        <v>-354.75</v>
      </c>
      <c r="AB26" s="53">
        <f t="shared" si="22"/>
        <v>-67.936000000000035</v>
      </c>
      <c r="AC26" s="53">
        <f t="shared" si="22"/>
        <v>626.77</v>
      </c>
      <c r="AD26" s="54">
        <f t="shared" si="22"/>
        <v>261.1182500000001</v>
      </c>
      <c r="AE26" s="53">
        <f t="shared" ref="AE26:AH26" si="23">SUMPRODUCT($J$5:$J$16,AE5:AE16)</f>
        <v>-415.59000000000003</v>
      </c>
      <c r="AF26" s="53">
        <f t="shared" si="23"/>
        <v>-67.936000000000035</v>
      </c>
      <c r="AG26" s="53">
        <f t="shared" si="23"/>
        <v>158.04000000000002</v>
      </c>
      <c r="AH26" s="54">
        <f t="shared" si="23"/>
        <v>263.94800000000009</v>
      </c>
    </row>
    <row r="27" spans="2:36" ht="18.75" customHeight="1" x14ac:dyDescent="0.3">
      <c r="B27" s="58"/>
      <c r="C27" s="58"/>
      <c r="D27" s="19"/>
      <c r="E27" s="19"/>
      <c r="F27" s="19"/>
      <c r="G27" s="59"/>
      <c r="J27" s="220"/>
      <c r="K27" s="223"/>
      <c r="N27" s="225" t="s">
        <v>66</v>
      </c>
      <c r="O27" s="226"/>
      <c r="P27" s="226"/>
      <c r="Q27" s="227"/>
      <c r="R27" s="55" t="s">
        <v>67</v>
      </c>
      <c r="S27" s="56">
        <f>S26+$AM$5*$AM$6*LN(0.0000001^(S14))</f>
        <v>-307.36384335522246</v>
      </c>
      <c r="T27" s="56">
        <f t="shared" ref="T27:U27" si="24">T26+$AM$5*$AM$6*LN(0.0000001^(T14))</f>
        <v>139.82398544715653</v>
      </c>
      <c r="U27" s="56">
        <f t="shared" si="24"/>
        <v>229.00693986866554</v>
      </c>
      <c r="V27" s="57">
        <f>V26+$AM$5*$AM$6*LN(0.0000001^(V14))</f>
        <v>300.12884335522256</v>
      </c>
      <c r="W27" s="56">
        <f>W26+$AM$5*$AM$6*LN(0.0000001^(W14))</f>
        <v>-87.34</v>
      </c>
      <c r="X27" s="56">
        <f t="shared" ref="X27:Y27" si="25">X26+$AM$5*$AM$6*LN(0.0000001^(X14))</f>
        <v>94.022597473423588</v>
      </c>
      <c r="Y27" s="56">
        <f t="shared" si="25"/>
        <v>78.132313289555185</v>
      </c>
      <c r="Z27" s="57">
        <f>Z26+$AM$5*$AM$6*LN(0.0000001^(Z14))</f>
        <v>304.9798433552225</v>
      </c>
      <c r="AA27" s="56">
        <f>AA26+$AM$5*$AM$6*LN(0.0000001^(AA14))</f>
        <v>-354.75</v>
      </c>
      <c r="AB27" s="56">
        <f t="shared" ref="AB27:AC27" si="26">AB26+$AM$5*$AM$6*LN(0.0000001^(AB14))</f>
        <v>139.82398544715653</v>
      </c>
      <c r="AC27" s="56">
        <f t="shared" si="26"/>
        <v>307.13925315822064</v>
      </c>
      <c r="AD27" s="57">
        <f>AD26+$AM$5*$AM$6*LN(0.0000001^(AD14))</f>
        <v>301.07209335522253</v>
      </c>
      <c r="AE27" s="56">
        <f>AE26+$AM$5*$AM$6*LN(0.0000001^(AE14))</f>
        <v>-415.59000000000003</v>
      </c>
      <c r="AF27" s="56">
        <f t="shared" ref="AF27:AG27" si="27">AF26+$AM$5*$AM$6*LN(0.0000001^(AF14))</f>
        <v>139.82398544715653</v>
      </c>
      <c r="AG27" s="56">
        <f t="shared" si="27"/>
        <v>78.132313289555185</v>
      </c>
      <c r="AH27" s="57">
        <f>AH26+$AM$5*$AM$6*LN(0.0000001^(AH14))</f>
        <v>303.90184335522252</v>
      </c>
    </row>
    <row r="28" spans="2:36" ht="15.6" x14ac:dyDescent="0.3">
      <c r="B28" s="58"/>
      <c r="C28" s="58"/>
      <c r="D28" s="19"/>
      <c r="E28" s="19"/>
      <c r="F28" s="19"/>
      <c r="G28" s="59"/>
      <c r="J28" s="220"/>
      <c r="K28" s="223"/>
      <c r="O28" s="27"/>
      <c r="P28" s="27"/>
      <c r="Q28" s="27"/>
    </row>
    <row r="29" spans="2:36" ht="15.6" x14ac:dyDescent="0.3">
      <c r="B29" s="58"/>
      <c r="C29" s="58"/>
      <c r="D29" s="19"/>
      <c r="E29" s="19"/>
      <c r="F29" s="19"/>
      <c r="G29" s="59"/>
      <c r="J29" s="220"/>
      <c r="K29" s="223"/>
    </row>
    <row r="30" spans="2:36" x14ac:dyDescent="0.3">
      <c r="J30" s="220"/>
      <c r="K30" s="223"/>
    </row>
    <row r="31" spans="2:36" x14ac:dyDescent="0.3">
      <c r="J31" s="220"/>
      <c r="K31" s="223"/>
    </row>
    <row r="32" spans="2:36" x14ac:dyDescent="0.3">
      <c r="J32" s="220"/>
      <c r="K32" s="223"/>
    </row>
    <row r="33" spans="10:26" ht="15" thickBot="1" x14ac:dyDescent="0.35">
      <c r="J33" s="221"/>
      <c r="K33" s="224"/>
    </row>
    <row r="34" spans="10:26" x14ac:dyDescent="0.3">
      <c r="U34" s="82"/>
      <c r="V34" s="65">
        <v>10</v>
      </c>
      <c r="W34" s="65">
        <v>20</v>
      </c>
      <c r="X34" s="66">
        <v>30</v>
      </c>
      <c r="Y34"/>
      <c r="Z34"/>
    </row>
    <row r="35" spans="10:26" x14ac:dyDescent="0.3">
      <c r="U35" s="83" t="s">
        <v>68</v>
      </c>
      <c r="V35" s="78">
        <f>(1.28*10^(12))*EXP(-8183/(273+V34))/(1+((2.05*10^(-9))/(10^(-7.5)))+((10^(-7.5))/(1.66*10^(-7))))</f>
        <v>0.2823217413975958</v>
      </c>
      <c r="W35" s="78">
        <f t="shared" ref="W35:X35" si="28">(1.28*10^(12))*EXP(-8183/(273+W34))/(1+((2.05*10^(-9))/(10^(-7.5)))+((10^(-7.5))/(1.66*10^(-7))))</f>
        <v>0.75741706690483923</v>
      </c>
      <c r="X35" s="79">
        <f t="shared" si="28"/>
        <v>1.9038644750378029</v>
      </c>
      <c r="Y35"/>
      <c r="Z35"/>
    </row>
    <row r="36" spans="10:26" x14ac:dyDescent="0.3">
      <c r="U36" s="84" t="s">
        <v>69</v>
      </c>
      <c r="V36" s="80">
        <f>(6.69*10^(7))*EXP(-5295/(273+V34))/(1+((2.05*10^(-9))/(10^(-7.5)))+((10^(-7.5))/(1.66*10^(-7))))</f>
        <v>0.39894464591466677</v>
      </c>
      <c r="W36" s="80">
        <f t="shared" ref="W36:X36" si="29">(6.69*10^(7))*EXP(-5295/(273+W34))/(1+((2.05*10^(-9))/(10^(-7.5)))+((10^(-7.5))/(1.66*10^(-7))))</f>
        <v>0.75551351479496387</v>
      </c>
      <c r="X36" s="81">
        <f t="shared" si="29"/>
        <v>1.3717224615090331</v>
      </c>
      <c r="Y36"/>
      <c r="Z36"/>
    </row>
    <row r="37" spans="10:26" x14ac:dyDescent="0.3">
      <c r="U37" s="83" t="s">
        <v>70</v>
      </c>
      <c r="V37" s="78">
        <f>(1.651*10^(11))*EXP(-8183/(273+V34))</f>
        <v>4.5712789685116106E-2</v>
      </c>
      <c r="W37" s="78">
        <f t="shared" ref="W37:X37" si="30">(1.651*10^(11))*EXP(-8183/(273+W34))</f>
        <v>0.12263896826343848</v>
      </c>
      <c r="X37" s="79">
        <f t="shared" si="30"/>
        <v>0.30826870047461469</v>
      </c>
      <c r="Y37"/>
      <c r="Z37"/>
    </row>
    <row r="38" spans="10:26" ht="15" thickBot="1" x14ac:dyDescent="0.35">
      <c r="U38" s="85" t="s">
        <v>71</v>
      </c>
      <c r="V38" s="67">
        <f>(8.626*10^(6))*EXP(-5295/(273+V34))</f>
        <v>6.4573194919367791E-2</v>
      </c>
      <c r="W38" s="67">
        <f t="shared" ref="W38" si="31">(8.626*10^(6))*EXP(-5295/(273+W34))</f>
        <v>0.12228744502440833</v>
      </c>
      <c r="X38" s="68">
        <f>(8.626*10^(6))*EXP(-5295/(273+X34))</f>
        <v>0.22202704758505282</v>
      </c>
      <c r="Y38"/>
      <c r="Z38"/>
    </row>
    <row r="39" spans="10:26" x14ac:dyDescent="0.3">
      <c r="U39"/>
      <c r="V39"/>
      <c r="W39"/>
      <c r="X39"/>
      <c r="Y39"/>
      <c r="Z39"/>
    </row>
  </sheetData>
  <mergeCells count="8">
    <mergeCell ref="AE2:AH2"/>
    <mergeCell ref="S2:V2"/>
    <mergeCell ref="W2:Z2"/>
    <mergeCell ref="AA2:AD2"/>
    <mergeCell ref="J17:J33"/>
    <mergeCell ref="K17:K33"/>
    <mergeCell ref="N26:Q26"/>
    <mergeCell ref="N27:Q27"/>
  </mergeCells>
  <conditionalFormatting sqref="S5:AB7 AD5:AD7 AD9:AD16 S9:AB16">
    <cfRule type="cellIs" dxfId="100" priority="18" operator="equal">
      <formula>0</formula>
    </cfRule>
  </conditionalFormatting>
  <conditionalFormatting sqref="S17:AD23">
    <cfRule type="cellIs" dxfId="99" priority="19" operator="notBetween">
      <formula>0.0000000001</formula>
      <formula>-0.0000000001</formula>
    </cfRule>
    <cfRule type="cellIs" dxfId="98" priority="20" operator="between">
      <formula>0.0000000001</formula>
      <formula>-0.0000000001</formula>
    </cfRule>
  </conditionalFormatting>
  <conditionalFormatting sqref="S8:AB8 AD8">
    <cfRule type="cellIs" dxfId="97" priority="13" operator="equal">
      <formula>0</formula>
    </cfRule>
  </conditionalFormatting>
  <conditionalFormatting sqref="AC5:AC7 AC9:AC16">
    <cfRule type="cellIs" dxfId="96" priority="12" operator="equal">
      <formula>0</formula>
    </cfRule>
  </conditionalFormatting>
  <conditionalFormatting sqref="AC8">
    <cfRule type="cellIs" dxfId="95" priority="11" operator="equal">
      <formula>0</formula>
    </cfRule>
  </conditionalFormatting>
  <conditionalFormatting sqref="AG8">
    <cfRule type="cellIs" dxfId="94" priority="5" operator="equal">
      <formula>0</formula>
    </cfRule>
  </conditionalFormatting>
  <conditionalFormatting sqref="AE5:AF7 AE9:AF16 AH9:AI16 AH5:AJ5 AH6:AI7 AJ6:AJ16 AH4">
    <cfRule type="cellIs" dxfId="93" priority="8" operator="equal">
      <formula>0</formula>
    </cfRule>
  </conditionalFormatting>
  <conditionalFormatting sqref="AE17:AJ23">
    <cfRule type="cellIs" dxfId="92" priority="9" operator="notBetween">
      <formula>0.0000000001</formula>
      <formula>-0.0000000001</formula>
    </cfRule>
    <cfRule type="cellIs" dxfId="91" priority="10" operator="between">
      <formula>0.0000000001</formula>
      <formula>-0.0000000001</formula>
    </cfRule>
  </conditionalFormatting>
  <conditionalFormatting sqref="AE8:AF8 AH8:AI8">
    <cfRule type="cellIs" dxfId="90" priority="7" operator="equal">
      <formula>0</formula>
    </cfRule>
  </conditionalFormatting>
  <conditionalFormatting sqref="AG5:AG7 AG9:AG16">
    <cfRule type="cellIs" dxfId="89" priority="6" operator="equal">
      <formula>0</formula>
    </cfRule>
  </conditionalFormatting>
  <conditionalFormatting sqref="AD4 S4:AB4">
    <cfRule type="cellIs" dxfId="88" priority="4" operator="equal">
      <formula>0</formula>
    </cfRule>
  </conditionalFormatting>
  <conditionalFormatting sqref="AC4">
    <cfRule type="cellIs" dxfId="87" priority="3" operator="equal">
      <formula>0</formula>
    </cfRule>
  </conditionalFormatting>
  <conditionalFormatting sqref="AE4:AF4 AI4">
    <cfRule type="cellIs" dxfId="86" priority="2" operator="equal">
      <formula>0</formula>
    </cfRule>
  </conditionalFormatting>
  <conditionalFormatting sqref="AG4">
    <cfRule type="cellIs" dxfId="85" priority="1" operator="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80DB5-92D9-44E1-984F-05E418326CA4}">
  <dimension ref="A1:G15"/>
  <sheetViews>
    <sheetView workbookViewId="0"/>
  </sheetViews>
  <sheetFormatPr defaultRowHeight="13.2" x14ac:dyDescent="0.25"/>
  <cols>
    <col min="1" max="1" width="30" bestFit="1" customWidth="1"/>
    <col min="2" max="2" width="14.109375" customWidth="1"/>
    <col min="3" max="3" width="40.88671875" customWidth="1"/>
  </cols>
  <sheetData>
    <row r="1" spans="1:7" ht="14.4" x14ac:dyDescent="0.25">
      <c r="A1" s="77" t="str">
        <f>Discretization!A15</f>
        <v>Dynamic dT</v>
      </c>
      <c r="B1" s="99" t="b">
        <f>Discretization!B15</f>
        <v>1</v>
      </c>
      <c r="C1" s="240" t="s">
        <v>267</v>
      </c>
    </row>
    <row r="2" spans="1:7" ht="14.4" x14ac:dyDescent="0.25">
      <c r="A2" s="77" t="str">
        <f>Parameters!A2</f>
        <v>Variable HRT</v>
      </c>
      <c r="B2" s="99" t="b">
        <f>Parameters!B2</f>
        <v>1</v>
      </c>
      <c r="C2" s="240"/>
    </row>
    <row r="3" spans="1:7" ht="14.4" x14ac:dyDescent="0.25">
      <c r="A3" s="77" t="str">
        <f>Bacteria!A6</f>
        <v>Initialisation method</v>
      </c>
      <c r="B3" s="99" t="str">
        <f>Bacteria!B6</f>
        <v>granule</v>
      </c>
      <c r="C3" s="240"/>
    </row>
    <row r="4" spans="1:7" ht="14.4" x14ac:dyDescent="0.25">
      <c r="A4" s="77" t="str">
        <f>Bacteria!A12</f>
        <v>Inactivation enabled</v>
      </c>
      <c r="B4" s="99" t="b">
        <f>Bacteria!B12</f>
        <v>1</v>
      </c>
      <c r="C4" s="240"/>
    </row>
    <row r="5" spans="1:7" ht="14.4" x14ac:dyDescent="0.25">
      <c r="A5" s="77" t="str">
        <f>Bacteria!A13</f>
        <v>Detachment method</v>
      </c>
      <c r="B5" s="99" t="str">
        <f>Bacteria!B13</f>
        <v>mechanistic</v>
      </c>
      <c r="C5" s="240"/>
    </row>
    <row r="6" spans="1:7" ht="14.4" x14ac:dyDescent="0.25">
      <c r="A6" s="77" t="str">
        <f>Solver!A4</f>
        <v>pH bulk concentration corrected</v>
      </c>
      <c r="B6" s="99" t="b">
        <f>Solver!B4</f>
        <v>1</v>
      </c>
      <c r="C6" s="240"/>
    </row>
    <row r="7" spans="1:7" ht="14.4" x14ac:dyDescent="0.25">
      <c r="A7" s="77" t="str">
        <f>Solver!A2</f>
        <v>pH solving included</v>
      </c>
      <c r="B7" s="99" t="b">
        <f>Solver!B2</f>
        <v>1</v>
      </c>
      <c r="C7" s="240"/>
    </row>
    <row r="8" spans="1:7" ht="14.4" customHeight="1" x14ac:dyDescent="0.25">
      <c r="A8" s="77" t="str">
        <f>Solver!A5</f>
        <v>Speciation included</v>
      </c>
      <c r="B8" s="99" t="b">
        <f>Solver!B5</f>
        <v>1</v>
      </c>
      <c r="C8" s="240"/>
    </row>
    <row r="9" spans="1:7" ht="13.2" customHeight="1" x14ac:dyDescent="0.25">
      <c r="C9" s="245"/>
      <c r="G9" s="244"/>
    </row>
    <row r="10" spans="1:7" ht="13.2" customHeight="1" x14ac:dyDescent="0.25">
      <c r="C10" s="245"/>
      <c r="G10" s="244"/>
    </row>
    <row r="11" spans="1:7" ht="13.2" customHeight="1" x14ac:dyDescent="0.25">
      <c r="C11" s="245"/>
      <c r="G11" s="244"/>
    </row>
    <row r="12" spans="1:7" ht="13.2" customHeight="1" x14ac:dyDescent="0.25">
      <c r="C12" s="245"/>
      <c r="G12" s="244"/>
    </row>
    <row r="13" spans="1:7" ht="13.2" customHeight="1" x14ac:dyDescent="0.25">
      <c r="C13" s="245"/>
    </row>
    <row r="14" spans="1:7" ht="13.2" customHeight="1" x14ac:dyDescent="0.25">
      <c r="C14" s="245"/>
    </row>
    <row r="15" spans="1:7" ht="13.2" customHeight="1" x14ac:dyDescent="0.25">
      <c r="C15" s="245"/>
    </row>
  </sheetData>
  <mergeCells count="1">
    <mergeCell ref="C1:C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8"/>
  <sheetViews>
    <sheetView workbookViewId="0">
      <selection activeCell="B3" sqref="B3"/>
    </sheetView>
  </sheetViews>
  <sheetFormatPr defaultColWidth="9.109375" defaultRowHeight="13.2" x14ac:dyDescent="0.25"/>
  <cols>
    <col min="1" max="1" width="33.6640625" style="62" bestFit="1" customWidth="1"/>
    <col min="2" max="3" width="9.109375" style="62"/>
    <col min="4" max="4" width="66.88671875" style="62" customWidth="1"/>
    <col min="5" max="5" width="18.109375" style="62" customWidth="1"/>
    <col min="6" max="16384" width="9.109375" style="62"/>
  </cols>
  <sheetData>
    <row r="1" spans="1:5" ht="14.4" customHeight="1" x14ac:dyDescent="0.3">
      <c r="A1" s="77" t="s">
        <v>101</v>
      </c>
      <c r="B1" s="122">
        <v>257</v>
      </c>
      <c r="C1" s="90" t="s">
        <v>97</v>
      </c>
      <c r="D1" s="110" t="s">
        <v>130</v>
      </c>
      <c r="E1" s="228" t="s">
        <v>137</v>
      </c>
    </row>
    <row r="2" spans="1:5" ht="14.4" x14ac:dyDescent="0.3">
      <c r="A2" s="77" t="s">
        <v>102</v>
      </c>
      <c r="B2" s="133">
        <v>257</v>
      </c>
      <c r="C2" s="90" t="s">
        <v>97</v>
      </c>
      <c r="D2" s="110" t="s">
        <v>131</v>
      </c>
      <c r="E2" s="228"/>
    </row>
    <row r="3" spans="1:5" ht="14.4" x14ac:dyDescent="0.3">
      <c r="A3" s="77" t="s">
        <v>103</v>
      </c>
      <c r="B3" s="99">
        <f>B5*B1*1000000</f>
        <v>1028</v>
      </c>
      <c r="C3" s="90" t="s">
        <v>123</v>
      </c>
      <c r="D3" s="110" t="s">
        <v>124</v>
      </c>
      <c r="E3" s="228"/>
    </row>
    <row r="4" spans="1:5" ht="14.4" x14ac:dyDescent="0.3">
      <c r="A4" s="77" t="s">
        <v>104</v>
      </c>
      <c r="B4" s="99">
        <f>B6*B2*1000000</f>
        <v>1028</v>
      </c>
      <c r="C4" s="90" t="s">
        <v>123</v>
      </c>
      <c r="D4" s="110" t="s">
        <v>125</v>
      </c>
      <c r="E4" s="228"/>
    </row>
    <row r="5" spans="1:5" ht="14.4" x14ac:dyDescent="0.3">
      <c r="A5" s="77" t="s">
        <v>105</v>
      </c>
      <c r="B5" s="103">
        <v>3.9999999999999998E-6</v>
      </c>
      <c r="C5" s="90" t="s">
        <v>94</v>
      </c>
      <c r="D5" s="110" t="s">
        <v>126</v>
      </c>
      <c r="E5" s="228"/>
    </row>
    <row r="6" spans="1:5" ht="14.4" x14ac:dyDescent="0.3">
      <c r="A6" s="77" t="s">
        <v>106</v>
      </c>
      <c r="B6" s="103">
        <v>3.9999999999999998E-6</v>
      </c>
      <c r="C6" s="90" t="s">
        <v>94</v>
      </c>
      <c r="D6" s="110" t="s">
        <v>127</v>
      </c>
      <c r="E6" s="228"/>
    </row>
    <row r="7" spans="1:5" ht="14.4" x14ac:dyDescent="0.3">
      <c r="A7" s="77" t="s">
        <v>107</v>
      </c>
      <c r="B7" s="103">
        <v>3.9999999999999998E-6</v>
      </c>
      <c r="C7" s="90" t="s">
        <v>94</v>
      </c>
      <c r="D7" s="110" t="s">
        <v>128</v>
      </c>
      <c r="E7" s="228"/>
    </row>
    <row r="8" spans="1:5" ht="15" thickBot="1" x14ac:dyDescent="0.35">
      <c r="A8" s="89" t="s">
        <v>122</v>
      </c>
      <c r="B8" s="104">
        <f>5*10^(-6)</f>
        <v>4.9999999999999996E-6</v>
      </c>
      <c r="C8" s="92" t="s">
        <v>94</v>
      </c>
      <c r="D8" s="111" t="s">
        <v>129</v>
      </c>
      <c r="E8" s="229"/>
    </row>
    <row r="9" spans="1:5" ht="14.4" customHeight="1" x14ac:dyDescent="0.3">
      <c r="A9" s="76" t="s">
        <v>139</v>
      </c>
      <c r="B9" s="105">
        <v>5000</v>
      </c>
      <c r="C9" s="91" t="s">
        <v>100</v>
      </c>
      <c r="D9" s="112" t="s">
        <v>132</v>
      </c>
      <c r="E9" s="230" t="s">
        <v>138</v>
      </c>
    </row>
    <row r="10" spans="1:5" ht="14.4" customHeight="1" x14ac:dyDescent="0.3">
      <c r="A10" s="77" t="s">
        <v>142</v>
      </c>
      <c r="B10" s="102">
        <v>0.2</v>
      </c>
      <c r="C10" s="90" t="s">
        <v>97</v>
      </c>
      <c r="D10" s="110" t="s">
        <v>149</v>
      </c>
      <c r="E10" s="231"/>
    </row>
    <row r="11" spans="1:5" ht="14.4" x14ac:dyDescent="0.3">
      <c r="A11" s="77" t="s">
        <v>145</v>
      </c>
      <c r="B11" s="98">
        <f>$B$5^2 * B10 / MAX(Diffusion!$B:$B)</f>
        <v>6.0468631897203323E-7</v>
      </c>
      <c r="C11" s="90" t="s">
        <v>100</v>
      </c>
      <c r="D11" s="110" t="s">
        <v>151</v>
      </c>
      <c r="E11" s="231"/>
    </row>
    <row r="12" spans="1:5" ht="14.4" x14ac:dyDescent="0.3">
      <c r="A12" s="77" t="s">
        <v>154</v>
      </c>
      <c r="B12" s="102">
        <v>0.5</v>
      </c>
      <c r="C12" s="90" t="s">
        <v>100</v>
      </c>
      <c r="D12" s="110" t="s">
        <v>155</v>
      </c>
      <c r="E12" s="231"/>
    </row>
    <row r="13" spans="1:5" ht="14.4" x14ac:dyDescent="0.3">
      <c r="A13" s="77" t="s">
        <v>133</v>
      </c>
      <c r="B13" s="106">
        <v>24</v>
      </c>
      <c r="C13" s="90" t="s">
        <v>100</v>
      </c>
      <c r="D13" s="110" t="s">
        <v>135</v>
      </c>
      <c r="E13" s="231"/>
    </row>
    <row r="14" spans="1:5" ht="15" thickBot="1" x14ac:dyDescent="0.35">
      <c r="A14" s="89" t="s">
        <v>134</v>
      </c>
      <c r="B14" s="100">
        <f>24*7</f>
        <v>168</v>
      </c>
      <c r="C14" s="124" t="s">
        <v>100</v>
      </c>
      <c r="D14" s="111" t="s">
        <v>136</v>
      </c>
      <c r="E14" s="232"/>
    </row>
    <row r="15" spans="1:5" ht="14.4" x14ac:dyDescent="0.3">
      <c r="A15" s="107" t="s">
        <v>158</v>
      </c>
      <c r="B15" s="134" t="b">
        <v>1</v>
      </c>
      <c r="C15" s="125" t="s">
        <v>97</v>
      </c>
      <c r="D15" s="113" t="s">
        <v>159</v>
      </c>
      <c r="E15" s="230" t="s">
        <v>173</v>
      </c>
    </row>
    <row r="16" spans="1:5" ht="14.4" x14ac:dyDescent="0.3">
      <c r="A16" s="77" t="s">
        <v>140</v>
      </c>
      <c r="B16" s="102">
        <v>0.01</v>
      </c>
      <c r="C16" s="90" t="s">
        <v>97</v>
      </c>
      <c r="D16" s="114" t="s">
        <v>146</v>
      </c>
      <c r="E16" s="231"/>
    </row>
    <row r="17" spans="1:5" ht="14.4" x14ac:dyDescent="0.3">
      <c r="A17" s="77" t="s">
        <v>143</v>
      </c>
      <c r="B17" s="98">
        <f>$B$5^2 * B16 / MAX(Diffusion!$B:$B)</f>
        <v>3.0234315948601663E-8</v>
      </c>
      <c r="C17" s="90" t="s">
        <v>100</v>
      </c>
      <c r="D17" s="114" t="s">
        <v>147</v>
      </c>
      <c r="E17" s="231"/>
    </row>
    <row r="18" spans="1:5" ht="14.4" x14ac:dyDescent="0.3">
      <c r="A18" s="77" t="s">
        <v>141</v>
      </c>
      <c r="B18" s="102">
        <v>0.5</v>
      </c>
      <c r="C18" s="90" t="s">
        <v>97</v>
      </c>
      <c r="D18" s="114" t="s">
        <v>148</v>
      </c>
      <c r="E18" s="231"/>
    </row>
    <row r="19" spans="1:5" ht="14.4" x14ac:dyDescent="0.3">
      <c r="A19" s="77" t="s">
        <v>144</v>
      </c>
      <c r="B19" s="98">
        <f>$B$5^2 * B18 / MAX(Diffusion!$B:$B)</f>
        <v>1.511715797430083E-6</v>
      </c>
      <c r="C19" s="90" t="s">
        <v>100</v>
      </c>
      <c r="D19" s="114" t="s">
        <v>150</v>
      </c>
      <c r="E19" s="231"/>
    </row>
    <row r="20" spans="1:5" ht="14.4" x14ac:dyDescent="0.3">
      <c r="A20" s="77" t="s">
        <v>152</v>
      </c>
      <c r="B20" s="102">
        <v>0.05</v>
      </c>
      <c r="C20" s="90" t="s">
        <v>100</v>
      </c>
      <c r="D20" s="114" t="s">
        <v>156</v>
      </c>
      <c r="E20" s="231"/>
    </row>
    <row r="21" spans="1:5" ht="14.4" x14ac:dyDescent="0.3">
      <c r="A21" s="108" t="s">
        <v>153</v>
      </c>
      <c r="B21" s="109">
        <v>1</v>
      </c>
      <c r="C21" s="126" t="s">
        <v>100</v>
      </c>
      <c r="D21" s="115" t="s">
        <v>157</v>
      </c>
      <c r="E21" s="231"/>
    </row>
    <row r="22" spans="1:5" ht="28.8" x14ac:dyDescent="0.3">
      <c r="A22" s="77" t="s">
        <v>160</v>
      </c>
      <c r="B22" s="102">
        <v>3</v>
      </c>
      <c r="C22" s="127" t="s">
        <v>97</v>
      </c>
      <c r="D22" s="116" t="s">
        <v>166</v>
      </c>
      <c r="E22" s="231"/>
    </row>
    <row r="23" spans="1:5" ht="28.8" x14ac:dyDescent="0.3">
      <c r="A23" s="77" t="s">
        <v>163</v>
      </c>
      <c r="B23" s="102">
        <v>500</v>
      </c>
      <c r="C23" s="127" t="s">
        <v>97</v>
      </c>
      <c r="D23" s="116" t="s">
        <v>167</v>
      </c>
      <c r="E23" s="231"/>
    </row>
    <row r="24" spans="1:5" ht="28.8" x14ac:dyDescent="0.3">
      <c r="A24" s="77" t="s">
        <v>161</v>
      </c>
      <c r="B24" s="102">
        <v>200</v>
      </c>
      <c r="C24" s="127" t="s">
        <v>97</v>
      </c>
      <c r="D24" s="116" t="s">
        <v>168</v>
      </c>
      <c r="E24" s="231"/>
    </row>
    <row r="25" spans="1:5" ht="28.8" x14ac:dyDescent="0.3">
      <c r="A25" s="77" t="s">
        <v>162</v>
      </c>
      <c r="B25" s="102">
        <v>40</v>
      </c>
      <c r="C25" s="127" t="s">
        <v>97</v>
      </c>
      <c r="D25" s="116" t="s">
        <v>169</v>
      </c>
      <c r="E25" s="231"/>
    </row>
    <row r="26" spans="1:5" ht="28.8" x14ac:dyDescent="0.3">
      <c r="A26" s="77" t="s">
        <v>170</v>
      </c>
      <c r="B26" s="119">
        <v>0.2</v>
      </c>
      <c r="C26" s="127" t="s">
        <v>97</v>
      </c>
      <c r="D26" s="116" t="s">
        <v>174</v>
      </c>
      <c r="E26" s="231"/>
    </row>
    <row r="27" spans="1:5" ht="28.8" x14ac:dyDescent="0.3">
      <c r="A27" s="77" t="s">
        <v>164</v>
      </c>
      <c r="B27" s="118">
        <v>9.9999999999999995E-7</v>
      </c>
      <c r="C27" s="127" t="s">
        <v>97</v>
      </c>
      <c r="D27" s="116" t="s">
        <v>171</v>
      </c>
      <c r="E27" s="231"/>
    </row>
    <row r="28" spans="1:5" ht="29.4" thickBot="1" x14ac:dyDescent="0.35">
      <c r="A28" s="89" t="s">
        <v>165</v>
      </c>
      <c r="B28" s="120">
        <v>0.02</v>
      </c>
      <c r="C28" s="124" t="s">
        <v>97</v>
      </c>
      <c r="D28" s="117" t="s">
        <v>172</v>
      </c>
      <c r="E28" s="232"/>
    </row>
  </sheetData>
  <mergeCells count="3">
    <mergeCell ref="E1:E8"/>
    <mergeCell ref="E9:E14"/>
    <mergeCell ref="E15:E28"/>
  </mergeCells>
  <conditionalFormatting sqref="A16:D28">
    <cfRule type="expression" dxfId="84" priority="1">
      <formula>$B$15 = FALSE</formula>
    </cfRule>
  </conditionalFormatting>
  <dataValidations count="1">
    <dataValidation type="list" allowBlank="1" showInputMessage="1" showErrorMessage="1" sqref="B15" xr:uid="{B02285CC-B93F-41B6-9F0B-F56D7F2E2904}">
      <formula1>"TRUE, FALSE"</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C3" sqref="C3"/>
    </sheetView>
  </sheetViews>
  <sheetFormatPr defaultColWidth="11.44140625" defaultRowHeight="13.2" x14ac:dyDescent="0.25"/>
  <cols>
    <col min="1" max="1" width="21.44140625" style="62" bestFit="1" customWidth="1"/>
    <col min="2" max="2" width="12.6640625" style="62" bestFit="1" customWidth="1"/>
    <col min="3" max="3" width="12.109375" style="62" customWidth="1"/>
    <col min="4" max="4" width="69.44140625" style="62" customWidth="1"/>
    <col min="5" max="16384" width="11.44140625" style="62"/>
  </cols>
  <sheetData>
    <row r="1" spans="1:5" ht="14.4" x14ac:dyDescent="0.3">
      <c r="A1" s="77" t="s">
        <v>99</v>
      </c>
      <c r="B1" s="122">
        <v>10.8</v>
      </c>
      <c r="C1" s="90" t="s">
        <v>100</v>
      </c>
      <c r="D1" s="110" t="s">
        <v>184</v>
      </c>
      <c r="E1" s="69"/>
    </row>
    <row r="2" spans="1:5" ht="28.8" x14ac:dyDescent="0.3">
      <c r="A2" s="77" t="s">
        <v>178</v>
      </c>
      <c r="B2" s="122" t="b">
        <v>1</v>
      </c>
      <c r="C2" s="90" t="s">
        <v>97</v>
      </c>
      <c r="D2" s="110" t="s">
        <v>180</v>
      </c>
      <c r="E2" s="69"/>
    </row>
    <row r="3" spans="1:5" ht="14.4" x14ac:dyDescent="0.3">
      <c r="A3" s="77" t="s">
        <v>181</v>
      </c>
      <c r="B3" s="121">
        <f>SUM(Influent!B1:B3)</f>
        <v>1.5E-3</v>
      </c>
      <c r="C3" s="90" t="s">
        <v>87</v>
      </c>
      <c r="D3" s="110" t="s">
        <v>179</v>
      </c>
      <c r="E3" s="69"/>
    </row>
    <row r="4" spans="1:5" ht="43.2" x14ac:dyDescent="0.3">
      <c r="A4" s="108" t="s">
        <v>182</v>
      </c>
      <c r="B4" s="246" t="s">
        <v>74</v>
      </c>
      <c r="C4" s="126" t="s">
        <v>97</v>
      </c>
      <c r="D4" s="123" t="s">
        <v>268</v>
      </c>
      <c r="E4" s="69"/>
    </row>
    <row r="5" spans="1:5" ht="14.4" x14ac:dyDescent="0.3">
      <c r="A5" s="77" t="s">
        <v>39</v>
      </c>
      <c r="B5" s="101">
        <v>20</v>
      </c>
      <c r="C5" s="90" t="s">
        <v>17</v>
      </c>
      <c r="D5" s="110" t="s">
        <v>183</v>
      </c>
      <c r="E5" s="69"/>
    </row>
    <row r="6" spans="1:5" ht="14.4" x14ac:dyDescent="0.3">
      <c r="A6" s="77" t="s">
        <v>247</v>
      </c>
      <c r="B6" s="154">
        <f>B5+273.15</f>
        <v>293.14999999999998</v>
      </c>
      <c r="C6" s="90" t="s">
        <v>41</v>
      </c>
      <c r="D6" s="110" t="s">
        <v>246</v>
      </c>
      <c r="E6" s="69"/>
    </row>
    <row r="7" spans="1:5" ht="14.4" x14ac:dyDescent="0.3">
      <c r="A7" s="77" t="s">
        <v>177</v>
      </c>
      <c r="B7" s="155">
        <v>7</v>
      </c>
      <c r="C7" s="90" t="s">
        <v>97</v>
      </c>
      <c r="D7" s="110" t="s">
        <v>185</v>
      </c>
      <c r="E7" s="69"/>
    </row>
    <row r="8" spans="1:5" ht="28.8" x14ac:dyDescent="0.3">
      <c r="A8" s="77" t="s">
        <v>176</v>
      </c>
      <c r="B8" s="128">
        <f>(((Bacteria!B10/3)*Bacteria!B1)/3)/1000</f>
        <v>2.3271056693257722E-10</v>
      </c>
      <c r="C8" s="90" t="s">
        <v>98</v>
      </c>
      <c r="D8" s="110" t="s">
        <v>186</v>
      </c>
      <c r="E8" s="69"/>
    </row>
    <row r="9" spans="1:5" ht="14.4" x14ac:dyDescent="0.3">
      <c r="A9" s="77" t="s">
        <v>175</v>
      </c>
      <c r="B9" s="97">
        <f>8.3144/1000</f>
        <v>8.3143999999999996E-3</v>
      </c>
      <c r="C9" s="90" t="s">
        <v>248</v>
      </c>
      <c r="D9" s="110" t="s">
        <v>175</v>
      </c>
      <c r="E9" s="69"/>
    </row>
    <row r="10" spans="1:5" x14ac:dyDescent="0.25">
      <c r="A10"/>
      <c r="B10"/>
      <c r="C10"/>
      <c r="D10"/>
    </row>
    <row r="11" spans="1:5" x14ac:dyDescent="0.25">
      <c r="A11"/>
      <c r="B11"/>
      <c r="C11"/>
      <c r="D11"/>
      <c r="E11" s="69"/>
    </row>
    <row r="12" spans="1:5" x14ac:dyDescent="0.25">
      <c r="A12"/>
      <c r="B12"/>
      <c r="C12"/>
      <c r="D12"/>
      <c r="E12" s="69"/>
    </row>
    <row r="13" spans="1:5" x14ac:dyDescent="0.25">
      <c r="A13"/>
      <c r="B13"/>
      <c r="C13"/>
      <c r="D13"/>
    </row>
    <row r="14" spans="1:5" x14ac:dyDescent="0.25">
      <c r="A14"/>
      <c r="B14"/>
      <c r="C14"/>
      <c r="D14"/>
    </row>
    <row r="15" spans="1:5" x14ac:dyDescent="0.25">
      <c r="A15"/>
      <c r="B15"/>
      <c r="C15"/>
      <c r="D15"/>
    </row>
    <row r="16" spans="1:5" x14ac:dyDescent="0.25">
      <c r="A16"/>
      <c r="B16"/>
      <c r="C16"/>
      <c r="D16"/>
    </row>
    <row r="17" spans="1:5" x14ac:dyDescent="0.25">
      <c r="A17"/>
      <c r="B17"/>
      <c r="C17"/>
      <c r="D17"/>
    </row>
    <row r="18" spans="1:5" x14ac:dyDescent="0.25">
      <c r="A18"/>
      <c r="B18"/>
      <c r="C18"/>
      <c r="D18"/>
      <c r="E18" s="94"/>
    </row>
    <row r="19" spans="1:5" x14ac:dyDescent="0.25">
      <c r="B19"/>
      <c r="C19"/>
      <c r="D19"/>
    </row>
    <row r="20" spans="1:5" x14ac:dyDescent="0.25">
      <c r="B20"/>
      <c r="C20"/>
      <c r="D20"/>
    </row>
    <row r="21" spans="1:5" x14ac:dyDescent="0.25">
      <c r="B21"/>
      <c r="C21"/>
      <c r="D21"/>
    </row>
    <row r="22" spans="1:5" x14ac:dyDescent="0.25">
      <c r="B22"/>
      <c r="C22"/>
      <c r="D22"/>
    </row>
    <row r="23" spans="1:5" x14ac:dyDescent="0.25">
      <c r="B23"/>
      <c r="C23"/>
      <c r="D23"/>
    </row>
    <row r="24" spans="1:5" x14ac:dyDescent="0.25">
      <c r="B24"/>
      <c r="C24"/>
      <c r="D24"/>
    </row>
    <row r="25" spans="1:5" x14ac:dyDescent="0.25">
      <c r="B25"/>
      <c r="C25"/>
      <c r="D25"/>
    </row>
    <row r="26" spans="1:5" x14ac:dyDescent="0.25">
      <c r="B26"/>
      <c r="C26"/>
      <c r="D26"/>
    </row>
    <row r="27" spans="1:5" x14ac:dyDescent="0.25">
      <c r="A27" s="69"/>
      <c r="B27"/>
      <c r="C27"/>
      <c r="D27"/>
    </row>
    <row r="28" spans="1:5" x14ac:dyDescent="0.25">
      <c r="B28"/>
      <c r="C28"/>
      <c r="D28"/>
    </row>
    <row r="29" spans="1:5" x14ac:dyDescent="0.25">
      <c r="B29"/>
      <c r="C29"/>
      <c r="D29"/>
    </row>
  </sheetData>
  <conditionalFormatting sqref="A3:D4">
    <cfRule type="expression" dxfId="83" priority="3">
      <formula>$B$2 = FALSE</formula>
    </cfRule>
  </conditionalFormatting>
  <conditionalFormatting sqref="A1:D1">
    <cfRule type="expression" dxfId="82" priority="1">
      <formula>$B$2=TRUE</formula>
    </cfRule>
  </conditionalFormatting>
  <dataValidations count="1">
    <dataValidation type="list" allowBlank="1" showInputMessage="1" showErrorMessage="1" sqref="B2" xr:uid="{28F6C65E-A04D-4413-835D-DA466EDD340E}">
      <formula1>"TRUE, FALSE"</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7"/>
  <sheetViews>
    <sheetView workbookViewId="0">
      <selection sqref="A1:D1"/>
    </sheetView>
  </sheetViews>
  <sheetFormatPr defaultColWidth="9.109375" defaultRowHeight="13.2" x14ac:dyDescent="0.25"/>
  <cols>
    <col min="1" max="1" width="9.109375" style="62"/>
    <col min="2" max="2" width="12" style="62" bestFit="1" customWidth="1"/>
    <col min="3" max="3" width="9.109375" style="62" customWidth="1"/>
    <col min="4" max="4" width="12.88671875" style="62" customWidth="1"/>
    <col min="5" max="5" width="23.33203125" style="62" customWidth="1"/>
    <col min="6" max="6" width="9.109375" style="62"/>
    <col min="7" max="7" width="11.44140625" style="62" bestFit="1" customWidth="1"/>
    <col min="8" max="16384" width="9.109375" style="62"/>
  </cols>
  <sheetData>
    <row r="1" spans="1:5" ht="14.4" x14ac:dyDescent="0.3">
      <c r="A1" s="77" t="s">
        <v>74</v>
      </c>
      <c r="B1" s="121">
        <f>1.957*10^(-9)*3600*0.7</f>
        <v>4.9316400000000006E-6</v>
      </c>
      <c r="C1" s="90" t="s">
        <v>108</v>
      </c>
      <c r="D1" s="110" t="s">
        <v>187</v>
      </c>
      <c r="E1" s="233" t="s">
        <v>188</v>
      </c>
    </row>
    <row r="2" spans="1:5" ht="14.4" x14ac:dyDescent="0.3">
      <c r="A2" s="77" t="s">
        <v>75</v>
      </c>
      <c r="B2" s="121">
        <f>1.912*10^(-9)*3600*0.7</f>
        <v>4.8182400000000001E-6</v>
      </c>
      <c r="C2" s="90" t="s">
        <v>108</v>
      </c>
      <c r="D2" s="110" t="s">
        <v>187</v>
      </c>
      <c r="E2" s="233"/>
    </row>
    <row r="3" spans="1:5" ht="14.4" x14ac:dyDescent="0.3">
      <c r="A3" s="77" t="s">
        <v>80</v>
      </c>
      <c r="B3" s="121">
        <f>1.902*10^(-9)*3600*0.7</f>
        <v>4.7930399999999991E-6</v>
      </c>
      <c r="C3" s="90" t="s">
        <v>108</v>
      </c>
      <c r="D3" s="110" t="s">
        <v>187</v>
      </c>
      <c r="E3" s="233"/>
    </row>
    <row r="4" spans="1:5" ht="14.4" x14ac:dyDescent="0.3">
      <c r="A4" s="77" t="s">
        <v>81</v>
      </c>
      <c r="B4" s="121">
        <f>2.1*10^(-9)*3600*0.7</f>
        <v>5.2920000000000003E-6</v>
      </c>
      <c r="C4" s="90" t="s">
        <v>108</v>
      </c>
      <c r="D4" s="110" t="s">
        <v>187</v>
      </c>
      <c r="E4" s="233"/>
    </row>
    <row r="5" spans="1:5" ht="14.4" x14ac:dyDescent="0.3">
      <c r="A5" s="77" t="s">
        <v>82</v>
      </c>
      <c r="B5" s="121">
        <f>1.92*10^(-9)*3600*0.7</f>
        <v>4.8384000000000001E-6</v>
      </c>
      <c r="C5" s="90" t="s">
        <v>108</v>
      </c>
      <c r="D5" s="110" t="s">
        <v>187</v>
      </c>
      <c r="E5" s="233"/>
    </row>
    <row r="6" spans="1:5" ht="14.4" x14ac:dyDescent="0.3">
      <c r="A6" s="77" t="s">
        <v>83</v>
      </c>
      <c r="B6" s="121">
        <f>1.385*10^(-9)*3600*0.7</f>
        <v>3.4902000000000001E-6</v>
      </c>
      <c r="C6" s="90" t="s">
        <v>108</v>
      </c>
      <c r="D6" s="110" t="s">
        <v>187</v>
      </c>
      <c r="E6" s="233"/>
    </row>
    <row r="7" spans="1:5" ht="15" thickBot="1" x14ac:dyDescent="0.35">
      <c r="A7" s="89" t="s">
        <v>84</v>
      </c>
      <c r="B7" s="129">
        <f>1.334*10^(-9)*3600*0.7</f>
        <v>3.3616800000000002E-6</v>
      </c>
      <c r="C7" s="92" t="s">
        <v>108</v>
      </c>
      <c r="D7" s="111" t="s">
        <v>187</v>
      </c>
      <c r="E7" s="234"/>
    </row>
  </sheetData>
  <mergeCells count="1">
    <mergeCell ref="E1:E7"/>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0"/>
  <sheetViews>
    <sheetView tabSelected="1" workbookViewId="0">
      <selection activeCell="D6" sqref="D6"/>
    </sheetView>
  </sheetViews>
  <sheetFormatPr defaultColWidth="9.109375" defaultRowHeight="13.2" x14ac:dyDescent="0.25"/>
  <cols>
    <col min="1" max="1" width="37.6640625" style="62" bestFit="1" customWidth="1"/>
    <col min="2" max="2" width="13.88671875" style="62" customWidth="1"/>
    <col min="3" max="3" width="9.109375" style="62"/>
    <col min="4" max="4" width="79.6640625" style="62" customWidth="1"/>
    <col min="5" max="5" width="12.44140625" style="62" bestFit="1" customWidth="1"/>
    <col min="6" max="16384" width="9.109375" style="62"/>
  </cols>
  <sheetData>
    <row r="1" spans="1:4" ht="14.4" x14ac:dyDescent="0.25">
      <c r="A1" s="77" t="s">
        <v>190</v>
      </c>
      <c r="B1" s="98">
        <f>((4/3)*PI()*B3^3)*B4</f>
        <v>2.0943951023931951E-12</v>
      </c>
      <c r="C1" s="90" t="s">
        <v>16</v>
      </c>
      <c r="D1" s="130" t="s">
        <v>198</v>
      </c>
    </row>
    <row r="2" spans="1:4" ht="14.4" x14ac:dyDescent="0.25">
      <c r="A2" s="77" t="s">
        <v>191</v>
      </c>
      <c r="B2" s="98">
        <f>0.1*B1</f>
        <v>2.0943951023931951E-13</v>
      </c>
      <c r="C2" s="90" t="s">
        <v>16</v>
      </c>
      <c r="D2" s="130" t="s">
        <v>199</v>
      </c>
    </row>
    <row r="3" spans="1:4" ht="14.4" x14ac:dyDescent="0.25">
      <c r="A3" s="77" t="s">
        <v>192</v>
      </c>
      <c r="B3" s="131">
        <f>(1)*10^(-6)</f>
        <v>9.9999999999999995E-7</v>
      </c>
      <c r="C3" s="90" t="s">
        <v>94</v>
      </c>
      <c r="D3" s="130" t="s">
        <v>200</v>
      </c>
    </row>
    <row r="4" spans="1:4" ht="14.4" x14ac:dyDescent="0.25">
      <c r="A4" s="77" t="s">
        <v>193</v>
      </c>
      <c r="B4" s="131">
        <f>500*1000</f>
        <v>500000</v>
      </c>
      <c r="C4" s="90" t="s">
        <v>95</v>
      </c>
      <c r="D4" s="130" t="s">
        <v>201</v>
      </c>
    </row>
    <row r="5" spans="1:4" ht="14.4" x14ac:dyDescent="0.25">
      <c r="A5" s="77" t="s">
        <v>194</v>
      </c>
      <c r="B5" s="138">
        <v>24.6</v>
      </c>
      <c r="C5" s="90" t="s">
        <v>96</v>
      </c>
      <c r="D5" s="130" t="s">
        <v>202</v>
      </c>
    </row>
    <row r="6" spans="1:4" ht="14.4" x14ac:dyDescent="0.25">
      <c r="A6" s="139" t="s">
        <v>224</v>
      </c>
      <c r="B6" s="143" t="s">
        <v>225</v>
      </c>
      <c r="C6" s="141" t="s">
        <v>97</v>
      </c>
      <c r="D6" s="142" t="s">
        <v>283</v>
      </c>
    </row>
    <row r="7" spans="1:4" ht="14.4" x14ac:dyDescent="0.25">
      <c r="A7" s="77" t="s">
        <v>196</v>
      </c>
      <c r="B7" s="131">
        <f>75*10^(-6)</f>
        <v>7.4999999999999993E-5</v>
      </c>
      <c r="C7" s="90" t="s">
        <v>94</v>
      </c>
      <c r="D7" s="130" t="s">
        <v>204</v>
      </c>
    </row>
    <row r="8" spans="1:4" ht="28.8" x14ac:dyDescent="0.25">
      <c r="A8" s="77" t="s">
        <v>279</v>
      </c>
      <c r="B8" s="257">
        <f>_xlfn.CEILING.MATH(B7^2 / (0.8*B3 * B11)^2 * 0.75)</f>
        <v>2930</v>
      </c>
      <c r="C8" s="90" t="s">
        <v>97</v>
      </c>
      <c r="D8" s="130" t="s">
        <v>281</v>
      </c>
    </row>
    <row r="9" spans="1:4" ht="14.4" x14ac:dyDescent="0.25">
      <c r="A9" s="108" t="s">
        <v>280</v>
      </c>
      <c r="B9" s="256">
        <v>500</v>
      </c>
      <c r="C9" s="126" t="s">
        <v>97</v>
      </c>
      <c r="D9" s="137" t="s">
        <v>278</v>
      </c>
    </row>
    <row r="10" spans="1:4" ht="14.4" x14ac:dyDescent="0.25">
      <c r="A10" s="77" t="s">
        <v>197</v>
      </c>
      <c r="B10" s="131">
        <f>4*ROUND(((B15/2)^2)/((B3)^2),0)</f>
        <v>1000000</v>
      </c>
      <c r="C10" s="90" t="s">
        <v>97</v>
      </c>
      <c r="D10" s="130" t="s">
        <v>205</v>
      </c>
    </row>
    <row r="11" spans="1:4" ht="28.8" x14ac:dyDescent="0.25">
      <c r="A11" s="77" t="s">
        <v>118</v>
      </c>
      <c r="B11" s="132">
        <v>1.5</v>
      </c>
      <c r="C11" s="90" t="s">
        <v>97</v>
      </c>
      <c r="D11" s="130" t="s">
        <v>206</v>
      </c>
    </row>
    <row r="12" spans="1:4" ht="28.8" x14ac:dyDescent="0.25">
      <c r="A12" s="77" t="s">
        <v>207</v>
      </c>
      <c r="B12" s="138" t="b">
        <v>1</v>
      </c>
      <c r="C12" s="90" t="s">
        <v>97</v>
      </c>
      <c r="D12" s="130" t="s">
        <v>208</v>
      </c>
    </row>
    <row r="13" spans="1:4" ht="14.4" x14ac:dyDescent="0.25">
      <c r="A13" s="139" t="s">
        <v>209</v>
      </c>
      <c r="B13" s="140" t="s">
        <v>212</v>
      </c>
      <c r="C13" s="141" t="s">
        <v>97</v>
      </c>
      <c r="D13" s="142" t="s">
        <v>213</v>
      </c>
    </row>
    <row r="14" spans="1:4" ht="14.4" x14ac:dyDescent="0.25">
      <c r="A14" s="77" t="s">
        <v>210</v>
      </c>
      <c r="B14" s="132">
        <v>5</v>
      </c>
      <c r="C14" s="90" t="s">
        <v>211</v>
      </c>
      <c r="D14" s="130" t="s">
        <v>214</v>
      </c>
    </row>
    <row r="15" spans="1:4" ht="28.8" x14ac:dyDescent="0.25">
      <c r="A15" s="108" t="s">
        <v>195</v>
      </c>
      <c r="B15" s="136">
        <f>1000*10^(-6)</f>
        <v>1E-3</v>
      </c>
      <c r="C15" s="126" t="s">
        <v>94</v>
      </c>
      <c r="D15" s="137" t="s">
        <v>203</v>
      </c>
    </row>
    <row r="16" spans="1:4" x14ac:dyDescent="0.25">
      <c r="A16" s="69"/>
      <c r="B16" s="94"/>
      <c r="C16" s="69"/>
      <c r="D16" s="69"/>
    </row>
    <row r="18" spans="3:5" x14ac:dyDescent="0.25">
      <c r="C18" s="94"/>
      <c r="D18" s="69"/>
      <c r="E18" s="69"/>
    </row>
    <row r="19" spans="3:5" x14ac:dyDescent="0.25">
      <c r="C19" s="69"/>
      <c r="D19" s="94"/>
      <c r="E19" s="69"/>
    </row>
    <row r="20" spans="3:5" x14ac:dyDescent="0.25">
      <c r="C20" s="69"/>
      <c r="D20" s="69"/>
      <c r="E20" s="94"/>
    </row>
  </sheetData>
  <conditionalFormatting sqref="A14:D14">
    <cfRule type="expression" dxfId="7" priority="4">
      <formula>$B$13&lt;&gt;"mechanistic"</formula>
    </cfRule>
  </conditionalFormatting>
  <conditionalFormatting sqref="A15:D15">
    <cfRule type="expression" dxfId="6" priority="3">
      <formula>$B$13&lt;&gt;"naive"</formula>
    </cfRule>
  </conditionalFormatting>
  <conditionalFormatting sqref="A9:D9">
    <cfRule type="expression" dxfId="5" priority="1">
      <formula>$B$6 = "granule"</formula>
    </cfRule>
  </conditionalFormatting>
  <conditionalFormatting sqref="A7:D8">
    <cfRule type="expression" dxfId="4" priority="2">
      <formula>$B$6 ="suspension"</formula>
    </cfRule>
  </conditionalFormatting>
  <dataValidations count="3">
    <dataValidation type="list" allowBlank="1" showInputMessage="1" showErrorMessage="1" sqref="B12" xr:uid="{4E7A34FD-A1C4-464E-AB3C-F3887798D8D2}">
      <formula1>"TRUE, FALSE"</formula1>
    </dataValidation>
    <dataValidation type="list" allowBlank="1" showInputMessage="1" showErrorMessage="1" sqref="B13" xr:uid="{612E5177-E007-4AA1-A867-561F6B98DA27}">
      <formula1>"mechanistic, naive, none"</formula1>
    </dataValidation>
    <dataValidation type="list" allowBlank="1" showInputMessage="1" showErrorMessage="1" sqref="B6" xr:uid="{2612E19F-069C-4D1D-B983-8FF0792C7324}">
      <formula1>"granule, suspension"</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2"/>
  <sheetViews>
    <sheetView zoomScaleNormal="100" workbookViewId="0">
      <selection activeCell="D22" sqref="D22"/>
    </sheetView>
  </sheetViews>
  <sheetFormatPr defaultColWidth="11.44140625" defaultRowHeight="13.2" x14ac:dyDescent="0.25"/>
  <cols>
    <col min="1" max="1" width="31.33203125" bestFit="1" customWidth="1"/>
    <col min="4" max="4" width="73.6640625" customWidth="1"/>
  </cols>
  <sheetData>
    <row r="1" spans="1:4" ht="14.4" x14ac:dyDescent="0.25">
      <c r="A1" s="77" t="s">
        <v>222</v>
      </c>
      <c r="B1" s="131">
        <v>9.9999999999999995E-7</v>
      </c>
      <c r="C1" s="90" t="s">
        <v>87</v>
      </c>
      <c r="D1" s="130" t="s">
        <v>223</v>
      </c>
    </row>
    <row r="2" spans="1:4" ht="14.4" x14ac:dyDescent="0.25">
      <c r="A2" s="77" t="s">
        <v>226</v>
      </c>
      <c r="B2" s="132" t="b">
        <v>1</v>
      </c>
      <c r="C2" s="90" t="s">
        <v>97</v>
      </c>
      <c r="D2" s="130" t="s">
        <v>228</v>
      </c>
    </row>
    <row r="3" spans="1:4" ht="14.4" x14ac:dyDescent="0.25">
      <c r="A3" s="77" t="s">
        <v>189</v>
      </c>
      <c r="B3" s="131">
        <v>1.0000000000000001E-15</v>
      </c>
      <c r="C3" s="90" t="s">
        <v>97</v>
      </c>
      <c r="D3" s="130" t="s">
        <v>227</v>
      </c>
    </row>
    <row r="4" spans="1:4" ht="14.4" x14ac:dyDescent="0.25">
      <c r="A4" s="77" t="s">
        <v>260</v>
      </c>
      <c r="B4" s="132" t="b">
        <v>1</v>
      </c>
      <c r="C4" s="90" t="s">
        <v>97</v>
      </c>
      <c r="D4" s="130" t="s">
        <v>261</v>
      </c>
    </row>
    <row r="5" spans="1:4" ht="28.8" x14ac:dyDescent="0.25">
      <c r="A5" s="77" t="s">
        <v>229</v>
      </c>
      <c r="B5" s="132" t="b">
        <v>1</v>
      </c>
      <c r="C5" s="90" t="s">
        <v>97</v>
      </c>
      <c r="D5" s="130" t="s">
        <v>266</v>
      </c>
    </row>
    <row r="6" spans="1:4" ht="28.8" x14ac:dyDescent="0.25">
      <c r="A6" s="77" t="s">
        <v>230</v>
      </c>
      <c r="B6" s="131">
        <v>1E-8</v>
      </c>
      <c r="C6" s="90" t="s">
        <v>97</v>
      </c>
      <c r="D6" s="130" t="s">
        <v>231</v>
      </c>
    </row>
    <row r="7" spans="1:4" ht="28.8" x14ac:dyDescent="0.25">
      <c r="A7" s="77" t="s">
        <v>215</v>
      </c>
      <c r="B7" s="135">
        <v>5.0000000000000001E-3</v>
      </c>
      <c r="C7" s="90" t="s">
        <v>109</v>
      </c>
      <c r="D7" s="130" t="s">
        <v>221</v>
      </c>
    </row>
    <row r="8" spans="1:4" ht="14.4" x14ac:dyDescent="0.25">
      <c r="A8" s="77" t="s">
        <v>216</v>
      </c>
      <c r="B8" s="132" t="s">
        <v>217</v>
      </c>
      <c r="C8" s="90" t="s">
        <v>97</v>
      </c>
      <c r="D8" s="130" t="s">
        <v>220</v>
      </c>
    </row>
    <row r="9" spans="1:4" ht="14.4" x14ac:dyDescent="0.25">
      <c r="A9" s="77" t="s">
        <v>218</v>
      </c>
      <c r="B9" s="132">
        <v>2</v>
      </c>
      <c r="C9" s="90" t="s">
        <v>97</v>
      </c>
      <c r="D9" s="130" t="s">
        <v>219</v>
      </c>
    </row>
    <row r="10" spans="1:4" ht="28.8" x14ac:dyDescent="0.25">
      <c r="A10" s="108" t="s">
        <v>232</v>
      </c>
      <c r="B10" s="256" t="b">
        <v>0</v>
      </c>
      <c r="C10" s="258" t="s">
        <v>97</v>
      </c>
      <c r="D10" s="259" t="s">
        <v>233</v>
      </c>
    </row>
    <row r="11" spans="1:4" ht="14.4" x14ac:dyDescent="0.25">
      <c r="A11" s="77" t="s">
        <v>263</v>
      </c>
      <c r="B11" s="132" t="b">
        <v>0</v>
      </c>
      <c r="C11" s="127" t="s">
        <v>97</v>
      </c>
      <c r="D11" s="144" t="s">
        <v>264</v>
      </c>
    </row>
    <row r="12" spans="1:4" ht="28.8" x14ac:dyDescent="0.25">
      <c r="A12" s="77" t="s">
        <v>262</v>
      </c>
      <c r="B12" s="132" t="s">
        <v>113</v>
      </c>
      <c r="C12" s="127" t="s">
        <v>97</v>
      </c>
      <c r="D12" s="144" t="s">
        <v>265</v>
      </c>
    </row>
  </sheetData>
  <conditionalFormatting sqref="A3:D4">
    <cfRule type="expression" dxfId="81" priority="2">
      <formula>$B$2=FALSE</formula>
    </cfRule>
  </conditionalFormatting>
  <conditionalFormatting sqref="A12:D12">
    <cfRule type="expression" dxfId="80" priority="1">
      <formula>$B$11=FALSE</formula>
    </cfRule>
  </conditionalFormatting>
  <dataValidations count="4">
    <dataValidation type="list" allowBlank="1" showInputMessage="1" showErrorMessage="1" sqref="B8" xr:uid="{A49C7C3F-F289-4E9E-93BF-BE4D6D78B296}">
      <formula1>"max, mean, norm"</formula1>
    </dataValidation>
    <dataValidation type="list" allowBlank="1" showInputMessage="1" showErrorMessage="1" sqref="B2 B10 B4 B5" xr:uid="{84E938EB-3DC7-476B-8ED7-970048E4677C}">
      <formula1>"TRUE, FALSE"</formula1>
    </dataValidation>
    <dataValidation type="list" allowBlank="1" showInputMessage="1" showErrorMessage="1" sqref="B11" xr:uid="{E03D1A38-E4CD-4F8A-8EC3-3AE9680BF385}">
      <formula1>"TRUE, FALSE"</formula1>
    </dataValidation>
    <dataValidation type="list" allowBlank="1" showInputMessage="1" showErrorMessage="1" sqref="B12" xr:uid="{54BD5B48-48D3-4918-B933-84192454EDAB}">
      <formula1>"Neut,Comp,Comm,Copr"</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6"/>
  <sheetViews>
    <sheetView workbookViewId="0">
      <selection activeCell="E13" sqref="E13"/>
    </sheetView>
  </sheetViews>
  <sheetFormatPr defaultColWidth="9.109375" defaultRowHeight="13.2" x14ac:dyDescent="0.25"/>
  <cols>
    <col min="1" max="3" width="9.109375" style="62"/>
    <col min="4" max="4" width="4.44140625" style="62" customWidth="1"/>
    <col min="5" max="5" width="62.5546875" style="62" customWidth="1"/>
    <col min="6" max="16384" width="9.109375" style="62"/>
  </cols>
  <sheetData>
    <row r="1" spans="1:10" x14ac:dyDescent="0.25">
      <c r="A1" s="77" t="s">
        <v>74</v>
      </c>
      <c r="B1" s="131">
        <v>5.0000000000000001E-4</v>
      </c>
      <c r="C1" s="90" t="s">
        <v>87</v>
      </c>
      <c r="D1" s="145" t="s">
        <v>20</v>
      </c>
      <c r="E1" s="235" t="s">
        <v>235</v>
      </c>
      <c r="F1" s="69"/>
      <c r="G1" s="69"/>
      <c r="H1" s="69"/>
      <c r="I1" s="69"/>
      <c r="J1" s="69"/>
    </row>
    <row r="2" spans="1:10" x14ac:dyDescent="0.25">
      <c r="A2" s="77" t="s">
        <v>75</v>
      </c>
      <c r="B2" s="131">
        <v>5.0000000000000001E-4</v>
      </c>
      <c r="C2" s="90" t="s">
        <v>87</v>
      </c>
      <c r="D2" s="145" t="s">
        <v>20</v>
      </c>
      <c r="E2" s="235"/>
      <c r="F2" s="69"/>
      <c r="G2" s="69"/>
      <c r="H2" s="69"/>
      <c r="I2" s="69"/>
      <c r="J2" s="69"/>
    </row>
    <row r="3" spans="1:10" x14ac:dyDescent="0.25">
      <c r="A3" s="77" t="s">
        <v>80</v>
      </c>
      <c r="B3" s="131">
        <v>5.0000000000000001E-4</v>
      </c>
      <c r="C3" s="90" t="s">
        <v>87</v>
      </c>
      <c r="D3" s="145" t="s">
        <v>20</v>
      </c>
      <c r="E3" s="235"/>
      <c r="F3" s="69"/>
      <c r="G3" s="69"/>
      <c r="H3" s="69"/>
      <c r="I3" s="69"/>
      <c r="J3" s="69"/>
    </row>
    <row r="4" spans="1:10" x14ac:dyDescent="0.25">
      <c r="A4" s="77" t="s">
        <v>81</v>
      </c>
      <c r="B4" s="131">
        <v>1.9999999999999999E-6</v>
      </c>
      <c r="C4" s="90" t="s">
        <v>87</v>
      </c>
      <c r="D4" s="145" t="s">
        <v>90</v>
      </c>
      <c r="E4" s="235"/>
      <c r="F4" s="69"/>
      <c r="G4" s="69"/>
      <c r="H4" s="69"/>
      <c r="I4" s="69"/>
      <c r="J4" s="69"/>
    </row>
    <row r="5" spans="1:10" x14ac:dyDescent="0.25">
      <c r="A5" s="77" t="s">
        <v>82</v>
      </c>
      <c r="B5" s="131">
        <v>1E-3</v>
      </c>
      <c r="C5" s="90" t="s">
        <v>87</v>
      </c>
      <c r="D5" s="145" t="s">
        <v>90</v>
      </c>
      <c r="E5" s="235"/>
      <c r="F5" s="94"/>
      <c r="G5" s="69"/>
      <c r="H5" s="69"/>
      <c r="I5" s="69"/>
      <c r="J5" s="69"/>
    </row>
    <row r="6" spans="1:10" x14ac:dyDescent="0.25">
      <c r="A6" s="77" t="s">
        <v>83</v>
      </c>
      <c r="B6" s="131">
        <f>B1/2</f>
        <v>2.5000000000000001E-4</v>
      </c>
      <c r="C6" s="90" t="s">
        <v>87</v>
      </c>
      <c r="D6" s="145" t="s">
        <v>90</v>
      </c>
      <c r="E6" s="235"/>
      <c r="F6" s="94"/>
      <c r="G6" s="69"/>
      <c r="H6" s="69"/>
      <c r="I6" s="69"/>
      <c r="J6" s="69"/>
    </row>
    <row r="7" spans="1:10" x14ac:dyDescent="0.25">
      <c r="A7" s="77" t="s">
        <v>84</v>
      </c>
      <c r="B7" s="131">
        <f>B5</f>
        <v>1E-3</v>
      </c>
      <c r="C7" s="90" t="s">
        <v>87</v>
      </c>
      <c r="D7" s="145" t="s">
        <v>90</v>
      </c>
      <c r="E7" s="235"/>
      <c r="F7" s="69"/>
      <c r="G7" s="69"/>
      <c r="H7" s="69"/>
      <c r="I7" s="69"/>
      <c r="J7" s="69"/>
    </row>
    <row r="13" spans="1:10" x14ac:dyDescent="0.25">
      <c r="A13" s="69"/>
      <c r="B13" s="69"/>
      <c r="C13" s="69"/>
      <c r="D13" s="69"/>
      <c r="E13" s="69"/>
      <c r="F13" s="69"/>
      <c r="G13" s="69"/>
      <c r="H13" s="69"/>
      <c r="I13" s="69"/>
      <c r="J13" s="70"/>
    </row>
    <row r="16" spans="1:10" x14ac:dyDescent="0.25">
      <c r="A16" s="69"/>
      <c r="B16" s="69"/>
      <c r="C16" s="69"/>
      <c r="D16" s="69"/>
      <c r="E16" s="69"/>
      <c r="F16" s="69"/>
      <c r="G16" s="69"/>
      <c r="H16" s="70"/>
      <c r="I16" s="69"/>
      <c r="J16" s="69"/>
    </row>
  </sheetData>
  <mergeCells count="1">
    <mergeCell ref="E1:E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Information</vt:lpstr>
      <vt:lpstr>Reactions</vt:lpstr>
      <vt:lpstr>Settings</vt:lpstr>
      <vt:lpstr>Discretization</vt:lpstr>
      <vt:lpstr>Parameters</vt:lpstr>
      <vt:lpstr>Diffusion</vt:lpstr>
      <vt:lpstr>Bacteria</vt:lpstr>
      <vt:lpstr>Solver</vt:lpstr>
      <vt:lpstr>Influent</vt:lpstr>
      <vt:lpstr>Initial condition</vt:lpstr>
      <vt:lpstr>ThermoParam</vt:lpstr>
      <vt:lpstr>Ks</vt:lpstr>
      <vt:lpstr>Ki</vt:lpstr>
      <vt:lpstr>Yield</vt:lpstr>
      <vt:lpstr>ReactionMatrix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Rebeca.Gonzalez-Cabaleiro@newcastle.ac.uk</dc:creator>
  <cp:keywords/>
  <dc:description/>
  <cp:lastModifiedBy>Chiel</cp:lastModifiedBy>
  <cp:revision/>
  <dcterms:created xsi:type="dcterms:W3CDTF">2008-02-06T12:16:03Z</dcterms:created>
  <dcterms:modified xsi:type="dcterms:W3CDTF">2021-12-02T16:33:55Z</dcterms:modified>
  <cp:category/>
  <cp:contentStatus/>
</cp:coreProperties>
</file>