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AED490FD-E93C-4E82-A5D2-4F8F416A7D2F}" xr6:coauthVersionLast="47" xr6:coauthVersionMax="47" xr10:uidLastSave="{00000000-0000-0000-0000-000000000000}"/>
  <bookViews>
    <workbookView xWindow="-120" yWindow="-16320" windowWidth="29040" windowHeight="15840" tabRatio="808" activeTab="10"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4" l="1"/>
  <c r="A6" i="34"/>
  <c r="B3" i="34"/>
  <c r="B4" i="34"/>
  <c r="B5" i="34"/>
  <c r="B7" i="34"/>
  <c r="B8" i="34"/>
  <c r="A8" i="34"/>
  <c r="A7" i="34"/>
  <c r="A5" i="34"/>
  <c r="A4" i="34"/>
  <c r="A3" i="34"/>
  <c r="B2" i="34"/>
  <c r="A2" i="34"/>
  <c r="B1" i="34"/>
  <c r="A1" i="34"/>
  <c r="D3" i="33"/>
  <c r="D4" i="33"/>
  <c r="D5" i="33"/>
  <c r="D6" i="33"/>
  <c r="D7" i="33"/>
  <c r="D2" i="33"/>
  <c r="E2" i="31"/>
  <c r="E3" i="31"/>
  <c r="E4" i="31"/>
  <c r="E6" i="31"/>
  <c r="E7" i="31"/>
  <c r="B17" i="24"/>
  <c r="D18" i="24"/>
  <c r="B13" i="24"/>
  <c r="B6" i="24"/>
  <c r="B14" i="24"/>
  <c r="B15" i="24"/>
  <c r="B16" i="24"/>
  <c r="B18" i="24"/>
  <c r="B19" i="24"/>
  <c r="B20" i="24"/>
  <c r="B21" i="24"/>
  <c r="B22" i="24"/>
  <c r="C14" i="24"/>
  <c r="D14" i="24"/>
  <c r="E14" i="24"/>
  <c r="C15" i="24"/>
  <c r="D15" i="24"/>
  <c r="E15" i="24"/>
  <c r="C16" i="24"/>
  <c r="D16" i="24"/>
  <c r="E16" i="24"/>
  <c r="C17" i="24"/>
  <c r="D17" i="24"/>
  <c r="E17" i="24"/>
  <c r="E18" i="24"/>
  <c r="C19" i="24"/>
  <c r="D19" i="24"/>
  <c r="E19" i="24"/>
  <c r="C20" i="24"/>
  <c r="D20" i="24"/>
  <c r="E20" i="24"/>
  <c r="C21" i="24"/>
  <c r="D21" i="24"/>
  <c r="E21" i="24"/>
  <c r="C22" i="24"/>
  <c r="D22" i="24"/>
  <c r="E22" i="24"/>
  <c r="C13" i="24"/>
  <c r="D13" i="24"/>
  <c r="E13" i="24"/>
  <c r="C25" i="26"/>
  <c r="B9" i="26"/>
  <c r="B6" i="26"/>
  <c r="D7" i="24"/>
  <c r="E7" i="24"/>
  <c r="B3" i="26"/>
  <c r="B4" i="27"/>
  <c r="B3" i="27"/>
  <c r="B5" i="33" l="1"/>
  <c r="B2" i="33"/>
  <c r="D5" i="32"/>
  <c r="B14" i="27"/>
  <c r="B7" i="28"/>
  <c r="B6" i="28"/>
  <c r="B5" i="28"/>
  <c r="B4" i="28"/>
  <c r="B3" i="28"/>
  <c r="B2" i="28"/>
  <c r="B1" i="28"/>
  <c r="B19" i="27" l="1"/>
  <c r="B17" i="27"/>
  <c r="B11" i="27"/>
  <c r="B8" i="27"/>
  <c r="B7" i="25"/>
  <c r="B13" i="25"/>
  <c r="B4" i="25"/>
  <c r="B3" i="25"/>
  <c r="B8" i="25" l="1"/>
  <c r="B1" i="25"/>
  <c r="B2" i="25" s="1"/>
  <c r="B8" i="26" l="1"/>
  <c r="AG17" i="18"/>
  <c r="AF23" i="18"/>
  <c r="AF22" i="18"/>
  <c r="AF21" i="18"/>
  <c r="AF20" i="18"/>
  <c r="AF19" i="18"/>
  <c r="AF18" i="18"/>
  <c r="AF17" i="18"/>
  <c r="AD6" i="18"/>
  <c r="AH4" i="18"/>
  <c r="S17" i="18"/>
  <c r="B7" i="23" l="1"/>
  <c r="B6" i="22" l="1"/>
  <c r="B6" i="23"/>
  <c r="C29" i="26" l="1"/>
  <c r="AI13" i="18" l="1"/>
  <c r="V5" i="18" l="1"/>
  <c r="X38" i="18" l="1"/>
  <c r="W38" i="18"/>
  <c r="V38" i="18"/>
  <c r="X37" i="18"/>
  <c r="W37" i="18"/>
  <c r="V37" i="18"/>
  <c r="X36" i="18"/>
  <c r="W36" i="18"/>
  <c r="V36" i="18"/>
  <c r="X35" i="18"/>
  <c r="W35" i="18"/>
  <c r="V35" i="18"/>
  <c r="C24" i="26" l="1"/>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tc={F9E69303-9E09-4AB4-B248-45D2ABEF281C}</author>
  </authors>
  <commentList>
    <comment ref="B27" authorId="0" shapeId="0" xr:uid="{F9E69303-9E09-4AB4-B248-45D2ABEF281C}">
      <text>
        <t>[Threaded comment]
Your version of Excel allows you to read this threaded comment; however, any edits to it will get removed if the file is opened in a newer version of Excel. Learn more: https://go.microsoft.com/fwlink/?linkid=870924
Comment:
    variable HRT (fix [S]sp)
Reply:
    should be setting, not constant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<sst xmlns="http://schemas.openxmlformats.org/spreadsheetml/2006/main" count="559" uniqueCount="278">
  <si>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</si>
  <si>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</si>
  <si>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</si>
  <si>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</si>
  <si>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</si>
  <si>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</si>
  <si>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</si>
  <si>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</si>
  <si>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</si>
  <si>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</si>
  <si>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</si>
  <si>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</si>
  <si>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</si>
  <si>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</si>
  <si>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</si>
  <si>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</si>
  <si>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</si>
  <si>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</si>
  <si>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</si>
  <si>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</si>
  <si>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</si>
  <si>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</si>
  <si>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</si>
  <si>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</si>
  <si>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</si>
  <si>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</si>
  <si>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</si>
  <si>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</si>
  <si>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</si>
  <si>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</si>
  <si>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</si>
  <si>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</si>
  <si>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</si>
  <si>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</si>
  <si>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</si>
  <si>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</si>
  <si>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</si>
  <si>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</si>
  <si>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</si>
  <si>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</si>
  <si>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</si>
  <si>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</si>
  <si>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</si>
  <si>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</si>
  <si>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</si>
  <si>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</si>
  <si>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</si>
  <si>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</si>
  <si>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</si>
  <si>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</si>
  <si>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</si>
  <si>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</si>
  <si>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</si>
  <si>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</si>
  <si>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</si>
  <si>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</si>
  <si>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</si>
  <si>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</si>
  <si>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</si>
  <si>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</si>
  <si>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</si>
  <si>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</si>
  <si>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</si>
  <si>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</si>
  <si>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</si>
  <si>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</si>
  <si>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</si>
  <si>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</si>
  <si>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</si>
  <si>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</si>
  <si>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</si>
  <si>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</si>
  <si>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</si>
  <si>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</si>
  <si>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</si>
  <si>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</si>
  <si>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</si>
  <si>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</si>
  <si>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</si>
  <si>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</si>
  <si>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</si>
  <si>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</si>
  <si>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</si>
  <si>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</si>
  <si>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</si>
  <si>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</si>
  <si>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</si>
  <si>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</si>
  <si>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</si>
  <si>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bar</t>
  </si>
  <si>
    <t>G</t>
  </si>
  <si>
    <t>D</t>
  </si>
  <si>
    <t>FORMS</t>
  </si>
  <si>
    <t>Inf</t>
  </si>
  <si>
    <t>NA</t>
  </si>
  <si>
    <t>m</t>
  </si>
  <si>
    <t>g/m3</t>
  </si>
  <si>
    <t>g/mol</t>
  </si>
  <si>
    <t>-</t>
  </si>
  <si>
    <t>Rg</t>
  </si>
  <si>
    <t>atm·L/mol·K</t>
  </si>
  <si>
    <t>Vgas</t>
  </si>
  <si>
    <t>m3</t>
  </si>
  <si>
    <t>HRT</t>
  </si>
  <si>
    <t>h</t>
  </si>
  <si>
    <t>Qliq</t>
  </si>
  <si>
    <t>L/h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</si>
  <si>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</si>
  <si>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</si>
  <si>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</si>
  <si>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</si>
  <si>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</si>
  <si>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</si>
  <si>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</si>
  <si>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</si>
  <si>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</si>
  <si>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</si>
  <si>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</si>
  <si>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</si>
  <si>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</si>
  <si>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</si>
  <si>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</si>
  <si>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</si>
  <si>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</si>
  <si>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</si>
  <si>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</si>
  <si>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</si>
  <si>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</si>
  <si>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</si>
  <si>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</si>
  <si>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</si>
  <si>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</si>
  <si>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</si>
  <si>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</si>
  <si>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</si>
  <si>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</si>
  <si>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</si>
  <si>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</si>
  <si>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</si>
  <si>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</si>
  <si>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</si>
  <si>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</si>
  <si>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</si>
  <si>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</si>
  <si>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</si>
  <si>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</si>
  <si>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</si>
  <si>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</si>
  <si>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</si>
  <si>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</si>
  <si>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</si>
  <si>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</si>
  <si>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</si>
  <si>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</si>
  <si>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</si>
  <si>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</si>
  <si>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</si>
  <si>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</si>
  <si>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</si>
  <si>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</si>
  <si>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</si>
  <si>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</si>
  <si>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</si>
  <si>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</si>
  <si>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</si>
  <si>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</si>
  <si>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</si>
  <si>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</si>
  <si>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</si>
  <si>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</si>
  <si>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</si>
  <si>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</si>
  <si>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</si>
  <si>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</si>
  <si>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</si>
  <si>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</si>
  <si>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</si>
  <si>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</si>
  <si>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</si>
  <si>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</si>
  <si>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</si>
  <si>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NH3 setpoint</t>
  </si>
  <si>
    <t>Gas constant</t>
  </si>
  <si>
    <t>Pressure</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</si>
  <si>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</si>
  <si>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</si>
  <si>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</si>
  <si>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</si>
  <si>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</si>
  <si>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</si>
  <si>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</si>
  <si>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Compound name</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</si>
  <si>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</si>
  <si>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</si>
  <si>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</si>
  <si>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</si>
  <si>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</si>
  <si>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</si>
  <si>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</si>
  <si>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</si>
  <si>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</si>
  <si>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</si>
  <si>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</si>
  <si>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</si>
  <si>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</si>
  <si>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</si>
  <si>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</si>
  <si>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</si>
  <si>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</si>
  <si>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</si>
  <si>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</si>
  <si>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</si>
  <si>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</si>
  <si>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</si>
  <si>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</si>
  <si>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</si>
  <si>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</si>
  <si>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</si>
  <si>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</si>
  <si>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</si>
  <si>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</si>
  <si>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mechanistic</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</si>
  <si>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</si>
  <si>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</si>
  <si>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</si>
  <si>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</si>
  <si>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</si>
  <si>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</si>
  <si>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</si>
  <si>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</si>
  <si>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</si>
  <si>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</si>
  <si>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</si>
  <si>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</si>
  <si>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</si>
  <si>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</si>
  <si>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</si>
  <si>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</si>
  <si>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</si>
  <si>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</si>
  <si>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</si>
  <si>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</si>
  <si>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</si>
  <si>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</si>
  <si>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</si>
  <si>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</si>
  <si>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</si>
  <si>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</si>
  <si>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</si>
  <si>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</si>
  <si>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</si>
  <si>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</si>
  <si>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</si>
  <si>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</si>
  <si>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</si>
  <si>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</si>
  <si>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</si>
  <si>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</si>
  <si>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Representative volume (OG)</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</si>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</sst>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6" fillId="0" borderId="0" applyFont="0" applyFill="0" applyBorder="0" applyAlignment="0" applyProtection="0"/>
    <xf numFmtId="0" fontId="37" fillId="0" borderId="0" applyNumberFormat="0" applyFill="0" applyBorder="0" applyAlignment="0" applyProtection="0"/>
    <xf numFmtId="0" fontId="36" fillId="11" borderId="40" applyNumberFormat="0" applyFont="0" applyAlignment="0" applyProtection="0"/>
    <xf numFmtId="0" fontId="38" fillId="0" borderId="0" applyNumberFormat="0" applyFill="0" applyBorder="0" applyAlignment="0" applyProtection="0"/>
  </cellStyleXfs>
  <cellXfs count="258">
    <xf numFmtId="0" fontId="0" fillId="0" borderId="0" xfId="0"/>
    <xf numFmtId="0" fontId="1" fillId="0" borderId="0" xfId="7"/>
    <xf numFmtId="169" fontId="1" fillId="0" borderId="0" xfId="7" applyNumberFormat="1"/>
    <xf numFmtId="0" fontId="5" fillId="4" borderId="13" xfId="7" applyFont="1" applyFill="1" applyBorder="1" applyAlignment="1">
      <alignment horizontal="left" vertical="center"/>
    </xf>
    <xf numFmtId="0" fontId="4" fillId="4" borderId="19"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3" xfId="7" applyFont="1" applyFill="1" applyBorder="1" applyAlignment="1">
      <alignment horizontal="center"/>
    </xf>
    <xf numFmtId="0" fontId="7" fillId="3" borderId="19" xfId="7" applyFont="1" applyFill="1" applyBorder="1" applyAlignment="1">
      <alignment horizontal="center"/>
    </xf>
    <xf numFmtId="0" fontId="8" fillId="3" borderId="19" xfId="7" applyFont="1" applyFill="1" applyBorder="1" applyAlignment="1">
      <alignment horizontal="center"/>
    </xf>
    <xf numFmtId="169" fontId="6" fillId="3" borderId="9" xfId="7" applyNumberFormat="1" applyFont="1" applyFill="1" applyBorder="1" applyAlignment="1">
      <alignment horizontal="center"/>
    </xf>
    <xf numFmtId="0" fontId="7" fillId="3" borderId="13" xfId="7" applyFont="1" applyFill="1" applyBorder="1" applyAlignment="1">
      <alignment horizontal="center" vertical="center"/>
    </xf>
    <xf numFmtId="0" fontId="7" fillId="3" borderId="13" xfId="7" applyFont="1" applyFill="1" applyBorder="1" applyAlignment="1">
      <alignment horizontal="center"/>
    </xf>
    <xf numFmtId="0" fontId="8" fillId="5" borderId="13" xfId="7" applyFont="1" applyFill="1" applyBorder="1" applyAlignment="1">
      <alignment horizontal="center"/>
    </xf>
    <xf numFmtId="0" fontId="7" fillId="4" borderId="13" xfId="7" applyFont="1" applyFill="1" applyBorder="1" applyAlignment="1">
      <alignment horizontal="center"/>
    </xf>
    <xf numFmtId="0" fontId="3" fillId="4" borderId="13" xfId="7" applyFont="1" applyFill="1" applyBorder="1" applyAlignment="1">
      <alignment horizontal="center"/>
    </xf>
    <xf numFmtId="0" fontId="7" fillId="6" borderId="13" xfId="7" applyFont="1" applyFill="1" applyBorder="1" applyAlignment="1">
      <alignment horizontal="center" vertical="center"/>
    </xf>
    <xf numFmtId="0" fontId="7" fillId="7" borderId="13" xfId="7" applyFont="1" applyFill="1" applyBorder="1" applyAlignment="1">
      <alignment horizontal="center" vertical="center"/>
    </xf>
    <xf numFmtId="0" fontId="7" fillId="8" borderId="13"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3" xfId="7" applyFont="1" applyBorder="1" applyAlignment="1">
      <alignment horizontal="center"/>
    </xf>
    <xf numFmtId="2" fontId="4" fillId="0" borderId="19" xfId="7" applyNumberFormat="1" applyFont="1" applyBorder="1" applyAlignment="1">
      <alignment horizontal="center" vertical="center"/>
    </xf>
    <xf numFmtId="2" fontId="4" fillId="0" borderId="19"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20" xfId="7" applyFont="1" applyBorder="1"/>
    <xf numFmtId="0" fontId="4" fillId="0" borderId="18" xfId="7" applyFont="1" applyBorder="1"/>
    <xf numFmtId="0" fontId="13" fillId="0" borderId="21" xfId="7" applyFont="1" applyBorder="1"/>
    <xf numFmtId="0" fontId="16" fillId="0" borderId="14" xfId="7" applyFont="1" applyBorder="1" applyAlignment="1">
      <alignment horizontal="center" vertical="center"/>
    </xf>
    <xf numFmtId="0" fontId="4" fillId="0" borderId="3" xfId="7" applyFont="1" applyBorder="1"/>
    <xf numFmtId="0" fontId="4" fillId="0" borderId="22"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3" xfId="7" applyFont="1" applyBorder="1" applyAlignment="1">
      <alignment horizontal="center" vertical="center"/>
    </xf>
    <xf numFmtId="0" fontId="17" fillId="0" borderId="14" xfId="7" applyFont="1" applyBorder="1" applyAlignment="1">
      <alignment horizontal="center" vertical="center"/>
    </xf>
    <xf numFmtId="169" fontId="4" fillId="0" borderId="11" xfId="7" applyNumberFormat="1" applyFont="1" applyBorder="1"/>
    <xf numFmtId="169" fontId="4" fillId="0" borderId="12"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3" xfId="7" applyFont="1" applyBorder="1"/>
    <xf numFmtId="0" fontId="23" fillId="0" borderId="0" xfId="0" applyFont="1"/>
    <xf numFmtId="0" fontId="26" fillId="0" borderId="0" xfId="0" applyFont="1"/>
    <xf numFmtId="0" fontId="28" fillId="0" borderId="0" xfId="0" applyFont="1"/>
    <xf numFmtId="0" fontId="0" fillId="0" borderId="24" xfId="0" applyBorder="1"/>
    <xf numFmtId="0" fontId="0" fillId="0" borderId="17" xfId="0" applyBorder="1"/>
    <xf numFmtId="0" fontId="0" fillId="0" borderId="18" xfId="0" applyBorder="1"/>
    <xf numFmtId="0" fontId="0" fillId="0" borderId="16" xfId="0" applyBorder="1"/>
    <xf numFmtId="0" fontId="2" fillId="0" borderId="0" xfId="0" applyFont="1"/>
    <xf numFmtId="0" fontId="27" fillId="0" borderId="0" xfId="0" applyFont="1"/>
    <xf numFmtId="0" fontId="32" fillId="0" borderId="0" xfId="0" applyFont="1" applyAlignment="1">
      <alignment horizontal="center" vertical="center"/>
    </xf>
    <xf numFmtId="0" fontId="25" fillId="0" borderId="0" xfId="0" applyFont="1" applyAlignment="1">
      <alignment horizontal="center" vertical="center"/>
    </xf>
    <xf numFmtId="0" fontId="25" fillId="0" borderId="31" xfId="0" applyFont="1" applyBorder="1" applyAlignment="1">
      <alignment horizontal="center" vertical="center"/>
    </xf>
    <xf numFmtId="0" fontId="25" fillId="0" borderId="33" xfId="0" applyFont="1" applyBorder="1" applyAlignment="1">
      <alignment horizontal="center" vertical="center"/>
    </xf>
    <xf numFmtId="0" fontId="31" fillId="0" borderId="0" xfId="0" applyFont="1" applyAlignment="1">
      <alignment horizontal="center" vertical="center"/>
    </xf>
    <xf numFmtId="0" fontId="25" fillId="10" borderId="10" xfId="0" applyFont="1" applyFill="1" applyBorder="1" applyAlignment="1">
      <alignment horizontal="center" vertical="center"/>
    </xf>
    <xf numFmtId="0" fontId="25" fillId="10" borderId="3" xfId="0" applyFont="1" applyFill="1" applyBorder="1" applyAlignment="1">
      <alignment horizontal="center" vertical="center"/>
    </xf>
    <xf numFmtId="0" fontId="29" fillId="0" borderId="1" xfId="0" applyFont="1" applyBorder="1" applyAlignment="1">
      <alignment horizontal="center" vertical="center"/>
    </xf>
    <xf numFmtId="0" fontId="0" fillId="0" borderId="12" xfId="0" applyBorder="1" applyAlignment="1">
      <alignment horizontal="center" vertical="center"/>
    </xf>
    <xf numFmtId="0" fontId="29" fillId="0" borderId="5" xfId="0" applyFont="1" applyBorder="1" applyAlignment="1">
      <alignment horizontal="center" vertical="center"/>
    </xf>
    <xf numFmtId="0" fontId="25" fillId="10" borderId="35" xfId="0" applyFont="1" applyFill="1" applyBorder="1" applyAlignment="1">
      <alignment horizontal="center" vertical="center"/>
    </xf>
    <xf numFmtId="0" fontId="25" fillId="10" borderId="36" xfId="0" applyFont="1" applyFill="1" applyBorder="1" applyAlignment="1">
      <alignment horizontal="center" vertical="center"/>
    </xf>
    <xf numFmtId="0" fontId="0" fillId="0" borderId="11" xfId="0" applyBorder="1"/>
    <xf numFmtId="0" fontId="0" fillId="0" borderId="31" xfId="0" applyBorder="1"/>
    <xf numFmtId="0" fontId="0" fillId="0" borderId="4" xfId="0" applyBorder="1"/>
    <xf numFmtId="0" fontId="0" fillId="0" borderId="33" xfId="0" applyBorder="1"/>
    <xf numFmtId="0" fontId="0" fillId="0" borderId="28" xfId="0" applyBorder="1"/>
    <xf numFmtId="0" fontId="0" fillId="0" borderId="29" xfId="0" applyBorder="1"/>
    <xf numFmtId="0" fontId="0" fillId="0" borderId="32" xfId="0" applyBorder="1"/>
    <xf numFmtId="0" fontId="0" fillId="0" borderId="34" xfId="0" applyBorder="1"/>
    <xf numFmtId="0" fontId="7" fillId="9" borderId="13"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7" xfId="0" applyFont="1" applyFill="1" applyBorder="1" applyAlignment="1">
      <alignment horizontal="center" vertical="center"/>
    </xf>
    <xf numFmtId="0" fontId="30" fillId="0" borderId="15" xfId="0" applyFont="1" applyBorder="1" applyAlignment="1">
      <alignment horizontal="center" vertical="center"/>
    </xf>
    <xf numFmtId="0" fontId="30" fillId="0" borderId="17" xfId="0" applyFont="1" applyBorder="1" applyAlignment="1">
      <alignment horizontal="center" vertical="center"/>
    </xf>
    <xf numFmtId="0" fontId="30" fillId="0" borderId="16" xfId="0" applyFont="1" applyBorder="1" applyAlignment="1">
      <alignment horizontal="center" vertical="center"/>
    </xf>
    <xf numFmtId="0" fontId="25" fillId="0" borderId="39" xfId="0" applyFont="1" applyBorder="1" applyAlignment="1">
      <alignment horizontal="center" vertical="center"/>
    </xf>
    <xf numFmtId="0" fontId="2" fillId="0" borderId="3"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25" fillId="10" borderId="7" xfId="0" applyFont="1" applyFill="1" applyBorder="1" applyAlignment="1">
      <alignment horizontal="center" vertical="center"/>
    </xf>
    <xf numFmtId="0" fontId="0" fillId="11" borderId="40" xfId="10" applyFont="1" applyAlignment="1">
      <alignment horizontal="center"/>
    </xf>
    <xf numFmtId="11" fontId="38" fillId="0" borderId="23" xfId="11" applyNumberFormat="1" applyBorder="1" applyAlignment="1">
      <alignment horizontal="center" vertical="center"/>
    </xf>
    <xf numFmtId="2" fontId="38" fillId="0" borderId="23" xfId="11" applyNumberFormat="1" applyBorder="1" applyAlignment="1">
      <alignment horizontal="center" vertical="center"/>
    </xf>
    <xf numFmtId="0" fontId="2" fillId="11" borderId="41" xfId="10" applyFont="1" applyBorder="1" applyAlignment="1">
      <alignment horizontal="center" vertical="center"/>
    </xf>
    <xf numFmtId="0" fontId="0" fillId="11" borderId="42" xfId="10" applyFont="1" applyBorder="1" applyAlignment="1">
      <alignment horizontal="center"/>
    </xf>
    <xf numFmtId="0" fontId="2" fillId="11" borderId="42" xfId="10" applyFont="1" applyBorder="1" applyAlignment="1">
      <alignment horizontal="center" vertical="center"/>
    </xf>
    <xf numFmtId="11" fontId="2" fillId="11" borderId="40" xfId="10" applyNumberFormat="1" applyFont="1" applyBorder="1" applyAlignment="1">
      <alignment horizontal="center" vertical="center"/>
    </xf>
    <xf numFmtId="11" fontId="0" fillId="11" borderId="43" xfId="10" applyNumberFormat="1" applyFont="1" applyBorder="1" applyAlignment="1">
      <alignment horizontal="center" vertical="center"/>
    </xf>
    <xf numFmtId="0" fontId="2" fillId="11" borderId="44" xfId="10" applyFont="1" applyBorder="1" applyAlignment="1">
      <alignment horizontal="center" vertical="center"/>
    </xf>
    <xf numFmtId="0" fontId="2" fillId="11" borderId="40" xfId="10" applyNumberFormat="1" applyFont="1" applyBorder="1" applyAlignment="1">
      <alignment horizontal="center" vertical="center"/>
    </xf>
    <xf numFmtId="0" fontId="25" fillId="10" borderId="46" xfId="0" applyFont="1" applyFill="1" applyBorder="1" applyAlignment="1">
      <alignment horizontal="center" vertical="center"/>
    </xf>
    <xf numFmtId="0" fontId="25" fillId="10" borderId="50" xfId="0" applyFont="1" applyFill="1" applyBorder="1" applyAlignment="1">
      <alignment horizontal="center" vertical="center"/>
    </xf>
    <xf numFmtId="0" fontId="2" fillId="11" borderId="51" xfId="10" applyFont="1" applyBorder="1" applyAlignment="1">
      <alignment horizontal="center" vertical="center"/>
    </xf>
    <xf numFmtId="0" fontId="38" fillId="0" borderId="0" xfId="11" applyBorder="1" applyAlignment="1">
      <alignment wrapText="1"/>
    </xf>
    <xf numFmtId="0" fontId="38" fillId="0" borderId="18" xfId="11" applyBorder="1" applyAlignment="1">
      <alignment wrapText="1"/>
    </xf>
    <xf numFmtId="0" fontId="38" fillId="0" borderId="24" xfId="11" applyBorder="1" applyAlignment="1">
      <alignment wrapText="1"/>
    </xf>
    <xf numFmtId="0" fontId="38" fillId="0" borderId="45" xfId="11" applyBorder="1" applyAlignment="1">
      <alignment wrapText="1"/>
    </xf>
    <xf numFmtId="0" fontId="38" fillId="0" borderId="0" xfId="11" applyAlignment="1">
      <alignment wrapText="1"/>
    </xf>
    <xf numFmtId="0" fontId="38" fillId="0" borderId="49" xfId="11" applyBorder="1" applyAlignment="1">
      <alignment wrapText="1"/>
    </xf>
    <xf numFmtId="0" fontId="38" fillId="0" borderId="0" xfId="11" applyFill="1" applyBorder="1" applyAlignment="1">
      <alignment wrapText="1"/>
    </xf>
    <xf numFmtId="0" fontId="38" fillId="0" borderId="18" xfId="11" applyFill="1" applyBorder="1" applyAlignment="1">
      <alignment wrapText="1"/>
    </xf>
    <xf numFmtId="11" fontId="2" fillId="11" borderId="42" xfId="10" applyNumberFormat="1" applyFont="1" applyBorder="1" applyAlignment="1">
      <alignment horizontal="center" vertical="center"/>
    </xf>
    <xf numFmtId="9" fontId="2" fillId="11" borderId="42" xfId="8" applyFont="1" applyFill="1" applyBorder="1" applyAlignment="1">
      <alignment horizontal="center" vertical="center"/>
    </xf>
    <xf numFmtId="9" fontId="2" fillId="11" borderId="41" xfId="8" applyFont="1" applyFill="1" applyBorder="1" applyAlignment="1">
      <alignment horizontal="center" vertical="center"/>
    </xf>
    <xf numFmtId="11" fontId="2" fillId="0" borderId="3" xfId="0" applyNumberFormat="1" applyFont="1" applyBorder="1" applyAlignment="1">
      <alignment horizontal="center" vertical="center"/>
    </xf>
    <xf numFmtId="170" fontId="2" fillId="0" borderId="3" xfId="0" applyNumberFormat="1" applyFont="1" applyBorder="1" applyAlignment="1">
      <alignment horizontal="center" vertical="center"/>
    </xf>
    <xf numFmtId="1" fontId="2" fillId="0" borderId="3" xfId="0" applyNumberFormat="1" applyFont="1" applyBorder="1" applyAlignment="1">
      <alignment horizontal="center" vertical="center"/>
    </xf>
    <xf numFmtId="11" fontId="2" fillId="0" borderId="7" xfId="0" applyNumberFormat="1" applyFont="1" applyBorder="1" applyAlignment="1">
      <alignment horizontal="center" vertical="center"/>
    </xf>
    <xf numFmtId="11" fontId="0" fillId="11" borderId="42" xfId="10" applyNumberFormat="1" applyFont="1" applyBorder="1" applyAlignment="1">
      <alignment horizontal="center"/>
    </xf>
    <xf numFmtId="0" fontId="0" fillId="11" borderId="42" xfId="10" applyFont="1" applyBorder="1" applyAlignment="1">
      <alignment horizontal="center" vertical="center"/>
    </xf>
    <xf numFmtId="0" fontId="0" fillId="11" borderId="51" xfId="10" applyFont="1" applyBorder="1" applyAlignment="1">
      <alignment horizontal="center"/>
    </xf>
    <xf numFmtId="0" fontId="38" fillId="0" borderId="4" xfId="11" applyBorder="1" applyAlignment="1">
      <alignment wrapText="1"/>
    </xf>
    <xf numFmtId="0" fontId="30" fillId="0" borderId="16" xfId="0" applyFont="1" applyFill="1" applyBorder="1" applyAlignment="1">
      <alignment horizontal="center" vertical="center"/>
    </xf>
    <xf numFmtId="0" fontId="30" fillId="0" borderId="48" xfId="0" applyFont="1" applyFill="1" applyBorder="1" applyAlignment="1">
      <alignment horizontal="center" vertical="center"/>
    </xf>
    <xf numFmtId="0" fontId="30" fillId="0" borderId="33" xfId="0" applyFont="1" applyBorder="1" applyAlignment="1">
      <alignment horizontal="center" vertical="center"/>
    </xf>
    <xf numFmtId="0" fontId="30" fillId="0" borderId="15" xfId="0" applyFont="1" applyFill="1" applyBorder="1" applyAlignment="1">
      <alignment horizontal="center" vertical="center"/>
    </xf>
    <xf numFmtId="11" fontId="38" fillId="0" borderId="0" xfId="11" applyNumberFormat="1" applyAlignment="1">
      <alignment horizontal="center" vertical="center"/>
    </xf>
    <xf numFmtId="11" fontId="0" fillId="11" borderId="52" xfId="10" applyNumberFormat="1" applyFont="1" applyBorder="1" applyAlignment="1">
      <alignment horizontal="center"/>
    </xf>
    <xf numFmtId="0" fontId="38" fillId="0" borderId="0" xfId="11" applyBorder="1" applyAlignment="1">
      <alignment vertical="center" wrapText="1"/>
    </xf>
    <xf numFmtId="11" fontId="0" fillId="11" borderId="42" xfId="10" applyNumberFormat="1" applyFont="1" applyBorder="1" applyAlignment="1">
      <alignment horizontal="center" vertical="center"/>
    </xf>
    <xf numFmtId="0" fontId="0" fillId="11" borderId="42" xfId="10" applyNumberFormat="1" applyFont="1" applyBorder="1" applyAlignment="1">
      <alignment horizontal="center" vertical="center"/>
    </xf>
    <xf numFmtId="0" fontId="0" fillId="11" borderId="40" xfId="10" applyFont="1" applyBorder="1" applyAlignment="1">
      <alignment horizontal="center" vertical="center"/>
    </xf>
    <xf numFmtId="0" fontId="23" fillId="11" borderId="47" xfId="10" applyFont="1" applyBorder="1" applyAlignment="1">
      <alignment vertical="center"/>
    </xf>
    <xf numFmtId="171" fontId="0" fillId="11" borderId="42" xfId="10" applyNumberFormat="1" applyFont="1" applyBorder="1" applyAlignment="1">
      <alignment horizontal="center" vertical="center"/>
    </xf>
    <xf numFmtId="11" fontId="0" fillId="11" borderId="51" xfId="10" applyNumberFormat="1" applyFont="1" applyBorder="1" applyAlignment="1">
      <alignment horizontal="center" vertical="center"/>
    </xf>
    <xf numFmtId="0" fontId="38" fillId="0" borderId="4" xfId="11" applyBorder="1" applyAlignment="1">
      <alignment vertical="center" wrapText="1"/>
    </xf>
    <xf numFmtId="0" fontId="0" fillId="11" borderId="53" xfId="10" applyNumberFormat="1" applyFont="1" applyBorder="1" applyAlignment="1">
      <alignment horizontal="center" vertical="center"/>
    </xf>
    <xf numFmtId="0" fontId="25" fillId="10" borderId="54" xfId="0" applyFont="1" applyFill="1" applyBorder="1" applyAlignment="1">
      <alignment horizontal="center" vertical="center"/>
    </xf>
    <xf numFmtId="0" fontId="0" fillId="11" borderId="55" xfId="10" applyNumberFormat="1" applyFont="1" applyBorder="1" applyAlignment="1">
      <alignment horizontal="center" vertical="center"/>
    </xf>
    <xf numFmtId="0" fontId="30" fillId="0" borderId="31" xfId="0" applyFont="1" applyBorder="1" applyAlignment="1">
      <alignment horizontal="center" vertical="center"/>
    </xf>
    <xf numFmtId="0" fontId="38" fillId="0" borderId="11" xfId="11" applyBorder="1" applyAlignment="1">
      <alignment vertical="center" wrapText="1"/>
    </xf>
    <xf numFmtId="11" fontId="0" fillId="11" borderId="55" xfId="10" applyNumberFormat="1" applyFont="1" applyBorder="1" applyAlignment="1">
      <alignment horizontal="center" vertical="center"/>
    </xf>
    <xf numFmtId="0" fontId="38" fillId="0" borderId="0" xfId="11" applyFill="1" applyBorder="1" applyAlignment="1">
      <alignment vertical="center" wrapText="1"/>
    </xf>
    <xf numFmtId="11" fontId="25" fillId="11" borderId="56"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5" fillId="10" borderId="57" xfId="0" applyFont="1" applyFill="1" applyBorder="1" applyAlignment="1">
      <alignment horizontal="center" vertical="center"/>
    </xf>
    <xf numFmtId="11" fontId="0" fillId="11" borderId="58" xfId="10" applyNumberFormat="1" applyFont="1" applyBorder="1" applyAlignment="1">
      <alignment horizontal="center" vertical="center"/>
    </xf>
    <xf numFmtId="0" fontId="30" fillId="0" borderId="39" xfId="0" applyFont="1" applyBorder="1" applyAlignment="1">
      <alignment horizontal="center" vertical="center"/>
    </xf>
    <xf numFmtId="0" fontId="38" fillId="0" borderId="0" xfId="11" applyNumberFormat="1" applyAlignment="1">
      <alignment horizontal="center" vertical="center"/>
    </xf>
    <xf numFmtId="170" fontId="0" fillId="11" borderId="40" xfId="10" applyNumberFormat="1" applyFont="1" applyAlignment="1">
      <alignment horizontal="center"/>
    </xf>
    <xf numFmtId="0" fontId="25" fillId="10" borderId="61" xfId="0" applyFont="1" applyFill="1" applyBorder="1" applyAlignment="1">
      <alignment horizontal="center" vertical="center"/>
    </xf>
    <xf numFmtId="11" fontId="2" fillId="11" borderId="40" xfId="10" applyNumberFormat="1" applyFont="1" applyAlignment="1">
      <alignment horizontal="center" vertical="center"/>
    </xf>
    <xf numFmtId="0" fontId="2" fillId="11" borderId="40" xfId="10" applyFont="1" applyAlignment="1">
      <alignment horizontal="center" vertical="center"/>
    </xf>
    <xf numFmtId="11" fontId="0" fillId="11" borderId="40" xfId="10" applyNumberFormat="1" applyFont="1" applyAlignment="1">
      <alignment horizontal="center" vertical="center"/>
    </xf>
    <xf numFmtId="0" fontId="33" fillId="10" borderId="54" xfId="0" applyFont="1" applyFill="1" applyBorder="1" applyAlignment="1">
      <alignment horizontal="center" vertical="center"/>
    </xf>
    <xf numFmtId="0" fontId="33" fillId="10" borderId="37" xfId="0" applyFont="1" applyFill="1" applyBorder="1" applyAlignment="1">
      <alignment horizontal="center" vertical="center"/>
    </xf>
    <xf numFmtId="0" fontId="25" fillId="10" borderId="25" xfId="0" applyFont="1" applyFill="1" applyBorder="1" applyAlignment="1">
      <alignment horizontal="center"/>
    </xf>
    <xf numFmtId="0" fontId="24" fillId="10" borderId="27" xfId="0" applyFont="1" applyFill="1" applyBorder="1" applyAlignment="1">
      <alignment horizontal="center" vertical="center" wrapText="1"/>
    </xf>
    <xf numFmtId="0" fontId="24" fillId="10" borderId="26" xfId="0" applyFont="1" applyFill="1" applyBorder="1" applyAlignment="1">
      <alignment horizontal="center" vertical="center" wrapText="1"/>
    </xf>
    <xf numFmtId="0" fontId="25" fillId="0" borderId="17" xfId="0" applyFont="1" applyBorder="1" applyAlignment="1">
      <alignment horizontal="center" vertical="center"/>
    </xf>
    <xf numFmtId="0" fontId="25" fillId="0" borderId="15" xfId="0" applyFont="1" applyBorder="1" applyAlignment="1">
      <alignment horizontal="center" vertical="center"/>
    </xf>
    <xf numFmtId="0" fontId="24" fillId="10" borderId="27" xfId="0" applyFont="1" applyFill="1" applyBorder="1" applyAlignment="1">
      <alignment horizontal="center" wrapText="1"/>
    </xf>
    <xf numFmtId="0" fontId="24" fillId="10" borderId="26" xfId="0" applyFont="1" applyFill="1" applyBorder="1" applyAlignment="1">
      <alignment horizontal="center" wrapText="1"/>
    </xf>
    <xf numFmtId="0" fontId="25" fillId="11" borderId="64" xfId="10" applyFont="1" applyBorder="1" applyAlignment="1">
      <alignment horizontal="center" vertical="center"/>
    </xf>
    <xf numFmtId="0" fontId="25" fillId="11" borderId="62" xfId="10" applyFont="1" applyBorder="1" applyAlignment="1">
      <alignment horizontal="center" vertical="center"/>
    </xf>
    <xf numFmtId="0" fontId="25" fillId="11" borderId="63" xfId="10" applyFont="1" applyBorder="1" applyAlignment="1">
      <alignment horizontal="center" vertical="center"/>
    </xf>
    <xf numFmtId="2" fontId="2" fillId="11" borderId="40" xfId="10" applyNumberFormat="1" applyFont="1" applyAlignment="1">
      <alignment horizontal="center" vertical="center"/>
    </xf>
    <xf numFmtId="0" fontId="2" fillId="11" borderId="40" xfId="10" applyNumberFormat="1" applyFont="1" applyAlignment="1">
      <alignment horizontal="center" vertical="center"/>
    </xf>
    <xf numFmtId="11" fontId="42" fillId="12" borderId="40" xfId="10" applyNumberFormat="1" applyFont="1" applyFill="1" applyAlignment="1">
      <alignment horizontal="center" vertical="center"/>
    </xf>
    <xf numFmtId="1" fontId="2" fillId="11" borderId="40" xfId="10" applyNumberFormat="1" applyFont="1" applyAlignment="1">
      <alignment horizontal="center" vertical="center"/>
    </xf>
    <xf numFmtId="2" fontId="2" fillId="11" borderId="66" xfId="10" applyNumberFormat="1" applyFont="1" applyBorder="1" applyAlignment="1">
      <alignment horizontal="center" vertical="center"/>
    </xf>
    <xf numFmtId="2" fontId="2" fillId="11" borderId="42" xfId="10" applyNumberFormat="1" applyFont="1" applyBorder="1" applyAlignment="1">
      <alignment horizontal="center" vertical="center"/>
    </xf>
    <xf numFmtId="2" fontId="2" fillId="11" borderId="58" xfId="10" applyNumberFormat="1" applyFont="1" applyBorder="1" applyAlignment="1">
      <alignment horizontal="center" vertical="center"/>
    </xf>
    <xf numFmtId="2" fontId="2" fillId="11" borderId="67" xfId="10" applyNumberFormat="1" applyFont="1" applyBorder="1" applyAlignment="1">
      <alignment horizontal="center" vertical="center"/>
    </xf>
    <xf numFmtId="2" fontId="2" fillId="11" borderId="68" xfId="10" applyNumberFormat="1" applyFont="1" applyBorder="1" applyAlignment="1">
      <alignment horizontal="center" vertical="center"/>
    </xf>
    <xf numFmtId="0" fontId="2" fillId="11" borderId="42"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58" xfId="10" applyNumberFormat="1" applyFont="1" applyBorder="1" applyAlignment="1">
      <alignment horizontal="center" vertical="center"/>
    </xf>
    <xf numFmtId="1" fontId="2" fillId="11" borderId="42"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58" xfId="10" applyNumberFormat="1" applyFont="1" applyBorder="1" applyAlignment="1">
      <alignment horizontal="center" vertical="center"/>
    </xf>
    <xf numFmtId="1" fontId="2" fillId="11" borderId="71" xfId="10" applyNumberFormat="1" applyFont="1" applyBorder="1" applyAlignment="1">
      <alignment horizontal="center" vertical="center"/>
    </xf>
    <xf numFmtId="1" fontId="2" fillId="11" borderId="51" xfId="10" applyNumberFormat="1" applyFont="1" applyBorder="1" applyAlignment="1">
      <alignment horizontal="center" vertical="center"/>
    </xf>
    <xf numFmtId="0" fontId="2" fillId="11" borderId="71" xfId="10" applyNumberFormat="1" applyFont="1" applyBorder="1" applyAlignment="1">
      <alignment horizontal="center" vertical="center"/>
    </xf>
    <xf numFmtId="0" fontId="2" fillId="11" borderId="51" xfId="10" applyNumberFormat="1" applyFont="1" applyBorder="1" applyAlignment="1">
      <alignment horizontal="center" vertical="center"/>
    </xf>
    <xf numFmtId="0" fontId="42" fillId="12" borderId="70" xfId="10" applyFont="1" applyFill="1" applyBorder="1" applyAlignment="1">
      <alignment horizontal="center" vertical="center"/>
    </xf>
    <xf numFmtId="11" fontId="42" fillId="12" borderId="70" xfId="10" applyNumberFormat="1" applyFont="1" applyFill="1" applyBorder="1" applyAlignment="1">
      <alignment horizontal="center" vertical="center"/>
    </xf>
    <xf numFmtId="0" fontId="25" fillId="11" borderId="72" xfId="10" applyFont="1" applyBorder="1" applyAlignment="1">
      <alignment horizontal="center" vertical="center"/>
    </xf>
    <xf numFmtId="0" fontId="25" fillId="11" borderId="38" xfId="10" applyFont="1" applyBorder="1" applyAlignment="1">
      <alignment horizontal="center" vertical="center"/>
    </xf>
    <xf numFmtId="0" fontId="33" fillId="10" borderId="30" xfId="0" applyFont="1" applyFill="1" applyBorder="1" applyAlignment="1">
      <alignment horizontal="center" vertical="center"/>
    </xf>
    <xf numFmtId="0" fontId="25" fillId="2" borderId="73" xfId="0" applyFont="1" applyFill="1" applyBorder="1" applyAlignment="1">
      <alignment horizontal="center" vertical="center"/>
    </xf>
    <xf numFmtId="0" fontId="25" fillId="2" borderId="59" xfId="0" applyFont="1" applyFill="1" applyBorder="1" applyAlignment="1">
      <alignment horizontal="center" vertical="center"/>
    </xf>
    <xf numFmtId="0" fontId="25" fillId="2" borderId="74" xfId="0" applyFont="1" applyFill="1" applyBorder="1" applyAlignment="1">
      <alignment horizontal="center" vertical="center"/>
    </xf>
    <xf numFmtId="0" fontId="2" fillId="11" borderId="66" xfId="10" applyFont="1" applyBorder="1" applyAlignment="1">
      <alignment horizontal="center" vertical="center"/>
    </xf>
    <xf numFmtId="0" fontId="2" fillId="11" borderId="68" xfId="10" applyFont="1" applyBorder="1" applyAlignment="1">
      <alignment horizontal="center" vertical="center"/>
    </xf>
    <xf numFmtId="0" fontId="2" fillId="11" borderId="58"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40"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80" xfId="10" applyFont="1" applyBorder="1" applyAlignment="1">
      <alignment horizontal="center" vertical="center"/>
    </xf>
    <xf numFmtId="0" fontId="2" fillId="11" borderId="67" xfId="10" applyFont="1" applyBorder="1" applyAlignment="1">
      <alignment horizontal="center" vertical="center"/>
    </xf>
    <xf numFmtId="0" fontId="2" fillId="11" borderId="81" xfId="10" applyFont="1" applyBorder="1" applyAlignment="1">
      <alignment horizontal="center" vertical="center"/>
    </xf>
    <xf numFmtId="0" fontId="2" fillId="11" borderId="82" xfId="10" applyFont="1" applyBorder="1" applyAlignment="1">
      <alignment horizontal="center" vertical="center"/>
    </xf>
    <xf numFmtId="0" fontId="2" fillId="11" borderId="43" xfId="10" applyFont="1" applyBorder="1" applyAlignment="1">
      <alignment horizontal="center" vertical="center"/>
    </xf>
    <xf numFmtId="0" fontId="2" fillId="11" borderId="83" xfId="10" applyFont="1" applyBorder="1" applyAlignment="1">
      <alignment horizontal="center" vertical="center"/>
    </xf>
    <xf numFmtId="0" fontId="4" fillId="3" borderId="13" xfId="7" applyFont="1" applyFill="1" applyBorder="1" applyAlignment="1">
      <alignment horizontal="center" vertical="center"/>
    </xf>
    <xf numFmtId="0" fontId="15" fillId="0" borderId="14"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4"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9" xfId="7" applyFont="1" applyBorder="1" applyAlignment="1">
      <alignment horizontal="center"/>
    </xf>
    <xf numFmtId="0" fontId="16" fillId="0" borderId="9" xfId="7" applyFont="1" applyBorder="1" applyAlignment="1">
      <alignment horizontal="center"/>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8" xfId="0" applyFont="1" applyBorder="1" applyAlignment="1">
      <alignment horizontal="center" vertical="center" wrapText="1"/>
    </xf>
    <xf numFmtId="0" fontId="37" fillId="0" borderId="0" xfId="9" applyFill="1" applyBorder="1" applyAlignment="1">
      <alignment horizontal="center" vertical="center" wrapText="1"/>
    </xf>
    <xf numFmtId="0" fontId="37" fillId="0" borderId="18" xfId="9" applyFill="1" applyBorder="1" applyAlignment="1">
      <alignment horizontal="center" vertical="center" wrapText="1"/>
    </xf>
    <xf numFmtId="0" fontId="38" fillId="0" borderId="0" xfId="11" applyBorder="1" applyAlignment="1">
      <alignment horizontal="center" vertical="center" wrapText="1"/>
    </xf>
    <xf numFmtId="0" fontId="38" fillId="0" borderId="23" xfId="11" applyBorder="1" applyAlignment="1">
      <alignment horizontal="center" vertical="center" wrapText="1"/>
    </xf>
    <xf numFmtId="0" fontId="25" fillId="10" borderId="65" xfId="0" applyFont="1" applyFill="1" applyBorder="1" applyAlignment="1">
      <alignment horizontal="center"/>
    </xf>
    <xf numFmtId="0" fontId="25" fillId="10" borderId="60" xfId="0" applyFont="1" applyFill="1" applyBorder="1" applyAlignment="1">
      <alignment horizontal="center"/>
    </xf>
    <xf numFmtId="0" fontId="25" fillId="10" borderId="26" xfId="0" applyFont="1" applyFill="1" applyBorder="1" applyAlignment="1">
      <alignment horizontal="center"/>
    </xf>
    <xf numFmtId="0" fontId="38" fillId="0" borderId="0" xfId="11" applyAlignment="1">
      <alignment horizontal="center" vertical="center" wrapText="1"/>
    </xf>
    <xf numFmtId="0" fontId="24" fillId="10" borderId="19"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0" borderId="0" xfId="0" applyFill="1"/>
    <xf numFmtId="0" fontId="38" fillId="0" borderId="0" xfId="11" applyAlignment="1">
      <alignment vertical="center"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7">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5084CDD9-32B5-45E0-B0B8-234FA3D41047}"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7" dT="2021-11-08T15:11:31.98" personId="{5CC223E8-22CF-48C3-ABCE-0A00391E726E}" id="{F9E69303-9E09-4AB4-B248-45D2ABEF281C}">
    <text>variable HRT (fix [S]sp)</text>
  </threadedComment>
  <threadedComment ref="B27" dT="2021-11-29T15:15:11.08" personId="{5084CDD9-32B5-45E0-B0B8-234FA3D41047}" id="{38332D71-7990-438E-8DB1-735A0712C4A5}" parentId="{F9E69303-9E09-4AB4-B248-45D2ABEF281C}">
    <text>should be setting, not constant</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4"/>
  <sheetViews>
    <sheetView workbookViewId="0">
      <selection activeCell="A2" sqref="A2"/>
    </sheetView>
  </sheetViews>
  <sheetFormatPr defaultRowHeight="13.2" x14ac:dyDescent="0.25"/>
  <cols>
    <col min="1" max="1" width="44.44140625" customWidth="1"/>
    <col min="2" max="2" width="33.88671875" customWidth="1"/>
    <col min="3" max="3" width="45" customWidth="1"/>
  </cols>
  <sheetData>
    <row r="1" spans="1:3" x14ac:dyDescent="0.25">
      <c r="A1" s="102" t="s">
        <v>118</v>
      </c>
      <c r="B1" s="102" t="s">
        <v>116</v>
      </c>
      <c r="C1" s="102" t="s">
        <v>117</v>
      </c>
    </row>
    <row r="2" spans="1:3" x14ac:dyDescent="0.25">
      <c r="A2" s="101" t="s">
        <v>125</v>
      </c>
      <c r="B2" s="69" t="s">
        <v>120</v>
      </c>
      <c r="C2" s="69" t="s">
        <v>121</v>
      </c>
    </row>
    <row r="3" spans="1:3" x14ac:dyDescent="0.25">
      <c r="B3" s="69" t="s">
        <v>123</v>
      </c>
    </row>
    <row r="4" spans="1:3" x14ac:dyDescent="0.25">
      <c r="B4" s="69" t="s">
        <v>122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2" sqref="B2"/>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82" t="s">
        <v>74</v>
      </c>
      <c r="B1" s="143">
        <v>1E-10</v>
      </c>
      <c r="C1" s="95" t="s">
        <v>87</v>
      </c>
      <c r="D1" s="248" t="s">
        <v>243</v>
      </c>
      <c r="E1" s="69"/>
      <c r="F1" s="69"/>
      <c r="G1" s="69"/>
    </row>
    <row r="2" spans="1:10" ht="15" customHeight="1" x14ac:dyDescent="0.25">
      <c r="A2" s="82" t="s">
        <v>75</v>
      </c>
      <c r="B2" s="143">
        <v>1E-10</v>
      </c>
      <c r="C2" s="95" t="s">
        <v>87</v>
      </c>
      <c r="D2" s="248"/>
      <c r="E2" s="69"/>
      <c r="F2" s="69"/>
      <c r="G2" s="69"/>
    </row>
    <row r="3" spans="1:10" ht="15" customHeight="1" x14ac:dyDescent="0.25">
      <c r="A3" s="82" t="s">
        <v>80</v>
      </c>
      <c r="B3" s="143">
        <v>1E-10</v>
      </c>
      <c r="C3" s="95" t="s">
        <v>87</v>
      </c>
      <c r="D3" s="248"/>
      <c r="E3" s="69"/>
      <c r="F3" s="69"/>
      <c r="G3" s="69"/>
    </row>
    <row r="4" spans="1:10" ht="15" customHeight="1" x14ac:dyDescent="0.25">
      <c r="A4" s="82" t="s">
        <v>81</v>
      </c>
      <c r="B4" s="143">
        <v>1E-10</v>
      </c>
      <c r="C4" s="95" t="s">
        <v>87</v>
      </c>
      <c r="D4" s="248"/>
      <c r="E4" s="69"/>
      <c r="F4" s="69"/>
      <c r="G4" s="69"/>
    </row>
    <row r="5" spans="1:10" ht="15" customHeight="1" x14ac:dyDescent="0.25">
      <c r="A5" s="82" t="s">
        <v>82</v>
      </c>
      <c r="B5" s="143">
        <v>1E-10</v>
      </c>
      <c r="C5" s="95" t="s">
        <v>87</v>
      </c>
      <c r="D5" s="248"/>
      <c r="E5" s="69"/>
      <c r="F5" s="69"/>
      <c r="G5" s="69"/>
    </row>
    <row r="6" spans="1:10" ht="15" customHeight="1" x14ac:dyDescent="0.25">
      <c r="A6" s="115" t="s">
        <v>83</v>
      </c>
      <c r="B6" s="148">
        <f>B1/2</f>
        <v>5.0000000000000002E-11</v>
      </c>
      <c r="C6" s="138" t="s">
        <v>87</v>
      </c>
      <c r="D6" s="248"/>
      <c r="E6" s="69"/>
      <c r="F6" s="69"/>
      <c r="G6" s="69"/>
    </row>
    <row r="7" spans="1:10" ht="15" customHeight="1" x14ac:dyDescent="0.25">
      <c r="A7" s="163" t="s">
        <v>84</v>
      </c>
      <c r="B7" s="164">
        <v>1E-10</v>
      </c>
      <c r="C7" s="165" t="s">
        <v>87</v>
      </c>
      <c r="D7" s="248"/>
      <c r="E7" s="69"/>
      <c r="F7" s="158"/>
      <c r="G7" s="158"/>
      <c r="H7" s="159"/>
      <c r="I7" s="159"/>
      <c r="J7" s="159"/>
    </row>
    <row r="8" spans="1:10" x14ac:dyDescent="0.25">
      <c r="E8" s="69"/>
      <c r="F8" s="160"/>
      <c r="G8" s="161"/>
      <c r="H8" s="162"/>
      <c r="I8" s="160"/>
      <c r="J8" s="159"/>
    </row>
    <row r="10" spans="1:10" x14ac:dyDescent="0.25">
      <c r="A10" s="69"/>
      <c r="B10" s="69"/>
      <c r="C10" s="69"/>
      <c r="D10" s="69"/>
      <c r="E10" s="69"/>
      <c r="F10" s="69"/>
      <c r="G10" s="100"/>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C30" sqref="C30"/>
    </sheetView>
  </sheetViews>
  <sheetFormatPr defaultColWidth="11.44140625" defaultRowHeight="13.8" x14ac:dyDescent="0.25"/>
  <cols>
    <col min="1" max="2" width="11.44140625" customWidth="1"/>
    <col min="3" max="6" width="14.21875" style="75" customWidth="1"/>
    <col min="7" max="7" width="14.109375" style="71" customWidth="1"/>
    <col min="8" max="8" width="3.5546875" style="72" customWidth="1"/>
    <col min="9" max="9" width="27.88671875" customWidth="1"/>
  </cols>
  <sheetData>
    <row r="1" spans="1:9" ht="27" thickBot="1" x14ac:dyDescent="0.3">
      <c r="A1" s="174" t="s">
        <v>92</v>
      </c>
      <c r="B1" s="175" t="s">
        <v>249</v>
      </c>
      <c r="C1" s="175" t="s">
        <v>245</v>
      </c>
      <c r="D1" s="176" t="s">
        <v>246</v>
      </c>
      <c r="E1" s="175" t="s">
        <v>247</v>
      </c>
      <c r="F1" s="176" t="s">
        <v>248</v>
      </c>
      <c r="G1" s="176" t="s">
        <v>266</v>
      </c>
    </row>
    <row r="2" spans="1:9" ht="13.2" x14ac:dyDescent="0.25">
      <c r="A2" s="81" t="s">
        <v>74</v>
      </c>
      <c r="B2" s="184" t="s">
        <v>93</v>
      </c>
      <c r="C2" s="184">
        <v>-79.37</v>
      </c>
      <c r="D2" s="184">
        <v>-26.57</v>
      </c>
      <c r="E2" s="184" t="s">
        <v>93</v>
      </c>
      <c r="F2" s="184" t="s">
        <v>93</v>
      </c>
      <c r="G2" s="181">
        <v>3</v>
      </c>
      <c r="H2" s="177" t="s">
        <v>88</v>
      </c>
      <c r="I2" s="248" t="s">
        <v>267</v>
      </c>
    </row>
    <row r="3" spans="1:9" ht="13.2" x14ac:dyDescent="0.25">
      <c r="A3" s="82" t="s">
        <v>75</v>
      </c>
      <c r="B3" s="184" t="s">
        <v>93</v>
      </c>
      <c r="C3" s="184">
        <v>-50.6</v>
      </c>
      <c r="D3" s="184">
        <v>-32.200000000000003</v>
      </c>
      <c r="E3" s="184" t="s">
        <v>93</v>
      </c>
      <c r="F3" s="184" t="s">
        <v>93</v>
      </c>
      <c r="G3" s="182">
        <v>2</v>
      </c>
      <c r="H3" s="178" t="s">
        <v>88</v>
      </c>
      <c r="I3" s="248"/>
    </row>
    <row r="4" spans="1:9" ht="13.2" x14ac:dyDescent="0.25">
      <c r="A4" s="82" t="s">
        <v>80</v>
      </c>
      <c r="B4" s="184" t="s">
        <v>93</v>
      </c>
      <c r="C4" s="184">
        <v>-103.7</v>
      </c>
      <c r="D4" s="184">
        <v>-111.3</v>
      </c>
      <c r="E4" s="184" t="s">
        <v>93</v>
      </c>
      <c r="F4" s="184" t="s">
        <v>93</v>
      </c>
      <c r="G4" s="182">
        <v>2</v>
      </c>
      <c r="H4" s="178" t="s">
        <v>88</v>
      </c>
      <c r="I4" s="248"/>
    </row>
    <row r="5" spans="1:9" ht="13.2" x14ac:dyDescent="0.25">
      <c r="A5" s="82" t="s">
        <v>81</v>
      </c>
      <c r="B5" s="184" t="s">
        <v>93</v>
      </c>
      <c r="C5" s="184">
        <v>16.399999999999999</v>
      </c>
      <c r="D5" s="184" t="s">
        <v>93</v>
      </c>
      <c r="E5" s="184" t="s">
        <v>93</v>
      </c>
      <c r="F5" s="184" t="s">
        <v>93</v>
      </c>
      <c r="G5" s="182">
        <v>2</v>
      </c>
      <c r="H5" s="178" t="s">
        <v>88</v>
      </c>
      <c r="I5" s="248"/>
    </row>
    <row r="6" spans="1:9" ht="13.2" x14ac:dyDescent="0.25">
      <c r="A6" s="82" t="s">
        <v>82</v>
      </c>
      <c r="B6" s="184">
        <f>-386</f>
        <v>-386</v>
      </c>
      <c r="C6" s="184">
        <v>-623.16</v>
      </c>
      <c r="D6" s="184">
        <v>-586.85</v>
      </c>
      <c r="E6" s="184">
        <v>-527.79999999999995</v>
      </c>
      <c r="F6" s="184" t="s">
        <v>93</v>
      </c>
      <c r="G6" s="182">
        <v>3</v>
      </c>
      <c r="H6" s="178" t="s">
        <v>88</v>
      </c>
      <c r="I6" s="248"/>
    </row>
    <row r="7" spans="1:9" ht="13.2" x14ac:dyDescent="0.25">
      <c r="A7" s="82" t="s">
        <v>83</v>
      </c>
      <c r="B7" s="188" t="s">
        <v>93</v>
      </c>
      <c r="C7" s="188">
        <v>-755.9</v>
      </c>
      <c r="D7" s="188">
        <f>-180.69*4.184</f>
        <v>-756.00696000000005</v>
      </c>
      <c r="E7" s="188">
        <f>-177.97*4.184</f>
        <v>-744.62648000000002</v>
      </c>
      <c r="F7" s="188" t="s">
        <v>93</v>
      </c>
      <c r="G7" s="183">
        <v>4</v>
      </c>
      <c r="H7" s="74" t="s">
        <v>88</v>
      </c>
      <c r="I7" s="248"/>
    </row>
    <row r="8" spans="1:9" s="71" customFormat="1" ht="13.2" x14ac:dyDescent="0.25">
      <c r="A8" s="163" t="s">
        <v>84</v>
      </c>
      <c r="B8" s="190" t="s">
        <v>93</v>
      </c>
      <c r="C8" s="190">
        <v>0</v>
      </c>
      <c r="D8" s="190" t="s">
        <v>93</v>
      </c>
      <c r="E8" s="190" t="s">
        <v>93</v>
      </c>
      <c r="F8" s="191" t="s">
        <v>93</v>
      </c>
      <c r="G8" s="210">
        <v>2</v>
      </c>
      <c r="H8" s="73" t="s">
        <v>88</v>
      </c>
      <c r="I8" s="248"/>
    </row>
    <row r="9" spans="1:9" s="71" customFormat="1" ht="13.2" x14ac:dyDescent="0.25">
      <c r="A9" s="115" t="s">
        <v>85</v>
      </c>
      <c r="B9" s="192" t="s">
        <v>93</v>
      </c>
      <c r="C9" s="190">
        <v>0</v>
      </c>
      <c r="D9" s="190" t="s">
        <v>93</v>
      </c>
      <c r="E9" s="190" t="s">
        <v>93</v>
      </c>
      <c r="F9" s="191" t="s">
        <v>93</v>
      </c>
      <c r="G9" s="210">
        <v>2</v>
      </c>
      <c r="H9" s="98" t="s">
        <v>90</v>
      </c>
      <c r="I9" s="248"/>
    </row>
    <row r="10" spans="1:9" s="71" customFormat="1" ht="13.2" x14ac:dyDescent="0.25">
      <c r="A10" s="172" t="s">
        <v>86</v>
      </c>
      <c r="B10" s="189" t="s">
        <v>93</v>
      </c>
      <c r="C10" s="189">
        <v>-237.18</v>
      </c>
      <c r="D10" s="189">
        <v>-157.30000000000001</v>
      </c>
      <c r="E10" s="189" t="s">
        <v>93</v>
      </c>
      <c r="F10" s="189" t="s">
        <v>93</v>
      </c>
      <c r="G10" s="209">
        <v>2</v>
      </c>
      <c r="H10" s="73" t="s">
        <v>88</v>
      </c>
      <c r="I10" s="248"/>
    </row>
    <row r="11" spans="1:9" s="71" customFormat="1" thickBot="1" x14ac:dyDescent="0.3">
      <c r="A11" s="173" t="s">
        <v>18</v>
      </c>
      <c r="B11" s="184" t="s">
        <v>93</v>
      </c>
      <c r="C11" s="184">
        <v>0</v>
      </c>
      <c r="D11" s="184" t="s">
        <v>93</v>
      </c>
      <c r="E11" s="184" t="s">
        <v>93</v>
      </c>
      <c r="F11" s="184" t="s">
        <v>93</v>
      </c>
      <c r="G11" s="183">
        <v>2</v>
      </c>
      <c r="H11" s="74" t="s">
        <v>88</v>
      </c>
      <c r="I11" s="248"/>
    </row>
    <row r="12" spans="1:9" s="71" customFormat="1" ht="28.2" customHeight="1" thickBot="1" x14ac:dyDescent="0.3">
      <c r="A12" s="174" t="s">
        <v>92</v>
      </c>
      <c r="B12" s="179" t="s">
        <v>251</v>
      </c>
      <c r="C12" s="179" t="s">
        <v>252</v>
      </c>
      <c r="D12" s="180" t="s">
        <v>253</v>
      </c>
      <c r="E12" s="179" t="s">
        <v>254</v>
      </c>
      <c r="H12" s="72"/>
    </row>
    <row r="13" spans="1:9" s="71" customFormat="1" ht="13.2" x14ac:dyDescent="0.25">
      <c r="A13" s="81" t="s">
        <v>74</v>
      </c>
      <c r="B13" s="185">
        <f>IF(COUNT(B2,C2)=2, EXP(($C$10+B2-C2)/-(Parameters!$B$9*Parameters!$B$6)), 0)</f>
        <v>0</v>
      </c>
      <c r="C13" s="169">
        <f>IF(COUNT(C2,D2)=2, EXP((D2-C2)/-(Parameters!$B$9*Parameters!$B$6)), 0)</f>
        <v>3.9083870641861443E-10</v>
      </c>
      <c r="D13" s="185">
        <f>IF(COUNT(D2,E2)=2, EXP((E2-D2)/-(Parameters!$B$9*Parameters!$B$6)), 0)</f>
        <v>0</v>
      </c>
      <c r="E13" s="185">
        <f>IF(COUNT(E2,F2)=2, EXP((F2-E2)/-(Parameters!$B$9*Parameters!$B$6)), 0)</f>
        <v>0</v>
      </c>
      <c r="H13" s="72"/>
      <c r="I13" s="247" t="s">
        <v>268</v>
      </c>
    </row>
    <row r="14" spans="1:9" s="71" customFormat="1" ht="13.2" x14ac:dyDescent="0.25">
      <c r="A14" s="82" t="s">
        <v>75</v>
      </c>
      <c r="B14" s="185">
        <f>IF(COUNT(B3,C3)=2, EXP(($C$10+B3-C3)/-(Parameters!$B$9*Parameters!$B$6)), 0)</f>
        <v>0</v>
      </c>
      <c r="C14" s="169">
        <f>IF(COUNT(C3,D3)=2, EXP((D3-C3)/-(Parameters!$B$9*Parameters!$B$6)), 0)</f>
        <v>5.2656707191475868E-4</v>
      </c>
      <c r="D14" s="185">
        <f>IF(COUNT(D3,E3)=2, EXP((E3-D3)/-(Parameters!$B$9*Parameters!$B$6)), 0)</f>
        <v>0</v>
      </c>
      <c r="E14" s="185">
        <f>IF(COUNT(E3,F3)=2, EXP((F3-E3)/-(Parameters!$B$9*Parameters!$B$6)), 0)</f>
        <v>0</v>
      </c>
      <c r="H14" s="72"/>
      <c r="I14" s="247"/>
    </row>
    <row r="15" spans="1:9" s="71" customFormat="1" ht="13.2" x14ac:dyDescent="0.25">
      <c r="A15" s="82" t="s">
        <v>80</v>
      </c>
      <c r="B15" s="185">
        <f>IF(COUNT(B4,C4)=2, EXP(($C$10+B4-C4)/-(Parameters!$B$9*Parameters!$B$6)), 0)</f>
        <v>0</v>
      </c>
      <c r="C15" s="169">
        <f>IF(COUNT(C4,D4)=2, EXP((D4-C4)/-(Parameters!$B$9*Parameters!$B$6)), 0)</f>
        <v>22.603837077490315</v>
      </c>
      <c r="D15" s="185">
        <f>IF(COUNT(D4,E4)=2, EXP((E4-D4)/-(Parameters!$B$9*Parameters!$B$6)), 0)</f>
        <v>0</v>
      </c>
      <c r="E15" s="185">
        <f>IF(COUNT(E4,F4)=2, EXP((F4-E4)/-(Parameters!$B$9*Parameters!$B$6)), 0)</f>
        <v>0</v>
      </c>
      <c r="H15" s="72"/>
      <c r="I15" s="247"/>
    </row>
    <row r="16" spans="1:9" ht="13.2" x14ac:dyDescent="0.25">
      <c r="A16" s="82" t="s">
        <v>81</v>
      </c>
      <c r="B16" s="185">
        <f>IF(COUNT(B5,C5)=2, EXP(($C$10+B5-C5)/-(Parameters!$B$9*Parameters!$B$6)), 0)</f>
        <v>0</v>
      </c>
      <c r="C16" s="185">
        <f>IF(COUNT(C5,D5)=2, EXP((D5-C5)/-(Parameters!$B$9*Parameters!$B$6)), 0)</f>
        <v>0</v>
      </c>
      <c r="D16" s="185">
        <f>IF(COUNT(D5,E5)=2, EXP((E5-D5)/-(Parameters!$B$9*Parameters!$B$6)), 0)</f>
        <v>0</v>
      </c>
      <c r="E16" s="185">
        <f>IF(COUNT(E5,F5)=2, EXP((F5-E5)/-(Parameters!$B$9*Parameters!$B$6)), 0)</f>
        <v>0</v>
      </c>
      <c r="F16" s="71"/>
      <c r="I16" s="247"/>
    </row>
    <row r="17" spans="1:9" ht="13.2" x14ac:dyDescent="0.25">
      <c r="A17" s="82" t="s">
        <v>82</v>
      </c>
      <c r="B17" s="186">
        <f>1/0.0017</f>
        <v>588.23529411764707</v>
      </c>
      <c r="C17" s="169">
        <f>IF(COUNT(C6,D6)=2, EXP((D6-C6)/-(Parameters!$B$9*Parameters!$B$6)), 0)</f>
        <v>3.3901312221699524E-7</v>
      </c>
      <c r="D17" s="169">
        <f>IF(COUNT(D6,E6)=2, EXP((E6-D6)/-(Parameters!$B$9*Parameters!$B$6)), 0)</f>
        <v>3.008575507210982E-11</v>
      </c>
      <c r="E17" s="185">
        <f>IF(COUNT(E6,F6)=2, EXP((F6-E6)/-(Parameters!$B$9*Parameters!$B$6)), 0)</f>
        <v>0</v>
      </c>
      <c r="F17" s="71"/>
      <c r="I17" s="247"/>
    </row>
    <row r="18" spans="1:9" ht="13.2" x14ac:dyDescent="0.25">
      <c r="A18" s="115" t="s">
        <v>83</v>
      </c>
      <c r="B18" s="194">
        <f>IF(COUNT(B7,C7)=2, EXP(($C$10+B7-C7)/-(Parameters!$B$9*Parameters!$B$6)), 0)</f>
        <v>0</v>
      </c>
      <c r="C18" s="207">
        <v>100</v>
      </c>
      <c r="D18" s="208">
        <f>10^(-1.92)</f>
        <v>1.2022644346174125E-2</v>
      </c>
      <c r="E18" s="195">
        <f>IF(COUNT(E7,F7)=2, EXP((F7-E7)/-(Parameters!$B$9*Parameters!$B$6)), 0)</f>
        <v>0</v>
      </c>
      <c r="F18" s="71"/>
      <c r="H18" s="71"/>
      <c r="I18" s="247"/>
    </row>
    <row r="19" spans="1:9" ht="13.2" x14ac:dyDescent="0.25">
      <c r="A19" s="163" t="s">
        <v>84</v>
      </c>
      <c r="B19" s="205">
        <f>IF(COUNT(B8,C8)=2, EXP(($C$10+B8-C8)/-(Parameters!$B$9*Parameters!$B$6)), 0)</f>
        <v>0</v>
      </c>
      <c r="C19" s="206">
        <f>IF(COUNT(C8,D8)=2, EXP((D8-C8)/-(Parameters!$B$9*Parameters!$B$6)), 0)</f>
        <v>0</v>
      </c>
      <c r="D19" s="206">
        <f>IF(COUNT(D8,E8)=2, EXP((E8-D8)/-(Parameters!$B$9*Parameters!$B$6)), 0)</f>
        <v>0</v>
      </c>
      <c r="E19" s="206">
        <f>IF(COUNT(E8,F8)=2, EXP((F8-E8)/-(Parameters!$B$9*Parameters!$B$6)), 0)</f>
        <v>0</v>
      </c>
      <c r="F19" s="71"/>
      <c r="H19" s="71"/>
      <c r="I19" s="247"/>
    </row>
    <row r="20" spans="1:9" ht="13.2" x14ac:dyDescent="0.25">
      <c r="A20" s="163" t="s">
        <v>85</v>
      </c>
      <c r="B20" s="196">
        <f>IF(COUNT(B9,C9)=2, EXP(($C$10+B9-C9)/-(Parameters!$B$9*Parameters!$B$6)), 0)</f>
        <v>0</v>
      </c>
      <c r="C20" s="197">
        <f>IF(COUNT(C9,D9)=2, EXP((D9-C9)/-(Parameters!$B$9*Parameters!$B$6)), 0)</f>
        <v>0</v>
      </c>
      <c r="D20" s="197">
        <f>IF(COUNT(D9,E9)=2, EXP((E9-D9)/-(Parameters!$B$9*Parameters!$B$6)), 0)</f>
        <v>0</v>
      </c>
      <c r="E20" s="197">
        <f>IF(COUNT(E9,F9)=2, EXP((F9-E9)/-(Parameters!$B$9*Parameters!$B$6)), 0)</f>
        <v>0</v>
      </c>
      <c r="F20" s="71"/>
      <c r="H20" s="71"/>
      <c r="I20" s="247"/>
    </row>
    <row r="21" spans="1:9" ht="13.2" x14ac:dyDescent="0.25">
      <c r="A21" s="172" t="s">
        <v>86</v>
      </c>
      <c r="B21" s="193">
        <f>IF(COUNT(B10,C10)=2, EXP(($C$10+B10-C10)/-(Parameters!$B$9*Parameters!$B$6)), 0)</f>
        <v>0</v>
      </c>
      <c r="C21" s="125">
        <f>IF(COUNT(C10,D10)=2, EXP((D10-C10)/-(Parameters!$B$9*Parameters!$B$6)), 0)</f>
        <v>5.845648305092005E-15</v>
      </c>
      <c r="D21" s="193">
        <f>IF(COUNT(D10,E10)=2, EXP((E10-D10)/-(Parameters!$B$9*Parameters!$B$6)), 0)</f>
        <v>0</v>
      </c>
      <c r="E21" s="193">
        <f>IF(COUNT(E10,F10)=2, EXP((F10-E10)/-(Parameters!$B$9*Parameters!$B$6)), 0)</f>
        <v>0</v>
      </c>
      <c r="F21" s="71"/>
      <c r="H21" s="71"/>
      <c r="I21" s="247"/>
    </row>
    <row r="22" spans="1:9" thickBot="1" x14ac:dyDescent="0.3">
      <c r="A22" s="173" t="s">
        <v>18</v>
      </c>
      <c r="B22" s="185">
        <f>IF(COUNT(B11,C11)=2, EXP(($C$10+B11-C11)/-(Parameters!$B$9*Parameters!$B$6)), 0)</f>
        <v>0</v>
      </c>
      <c r="C22" s="185">
        <f>IF(COUNT(C11,D11)=2, EXP((D11-C11)/-(Parameters!$B$9*Parameters!$B$6)), 0)</f>
        <v>0</v>
      </c>
      <c r="D22" s="185">
        <f>IF(COUNT(D11,E11)=2, EXP((E11-D11)/-(Parameters!$B$9*Parameters!$B$6)), 0)</f>
        <v>0</v>
      </c>
      <c r="E22" s="185">
        <f>IF(COUNT(E11,F11)=2, EXP((F11-E11)/-(Parameters!$B$9*Parameters!$B$6)), 0)</f>
        <v>0</v>
      </c>
      <c r="F22" s="71"/>
      <c r="I22" s="247"/>
    </row>
    <row r="23" spans="1:9" ht="28.2" customHeight="1" thickBot="1" x14ac:dyDescent="0.3">
      <c r="A23" s="249" t="s">
        <v>250</v>
      </c>
      <c r="B23" s="250"/>
      <c r="C23" s="250"/>
      <c r="D23" s="250"/>
      <c r="E23" s="250"/>
      <c r="F23" s="251"/>
    </row>
    <row r="24" spans="1:9" ht="13.2" x14ac:dyDescent="0.25">
      <c r="A24" s="81" t="s">
        <v>74</v>
      </c>
      <c r="B24" s="187" t="s">
        <v>94</v>
      </c>
      <c r="C24" s="187">
        <v>1</v>
      </c>
      <c r="D24" s="187">
        <v>0</v>
      </c>
      <c r="E24" s="187" t="s">
        <v>94</v>
      </c>
      <c r="F24" s="187" t="s">
        <v>94</v>
      </c>
      <c r="I24" s="247" t="s">
        <v>269</v>
      </c>
    </row>
    <row r="25" spans="1:9" ht="13.2" x14ac:dyDescent="0.25">
      <c r="A25" s="82" t="s">
        <v>75</v>
      </c>
      <c r="B25" s="187" t="s">
        <v>94</v>
      </c>
      <c r="C25" s="187">
        <v>0</v>
      </c>
      <c r="D25" s="187">
        <v>-1</v>
      </c>
      <c r="E25" s="187" t="s">
        <v>94</v>
      </c>
      <c r="F25" s="187" t="s">
        <v>94</v>
      </c>
      <c r="I25" s="247"/>
    </row>
    <row r="26" spans="1:9" ht="13.2" x14ac:dyDescent="0.25">
      <c r="A26" s="82" t="s">
        <v>80</v>
      </c>
      <c r="B26" s="187" t="s">
        <v>94</v>
      </c>
      <c r="C26" s="187">
        <v>0</v>
      </c>
      <c r="D26" s="187">
        <v>-1</v>
      </c>
      <c r="E26" s="187" t="s">
        <v>94</v>
      </c>
      <c r="F26" s="187" t="s">
        <v>94</v>
      </c>
      <c r="I26" s="247"/>
    </row>
    <row r="27" spans="1:9" ht="13.2" x14ac:dyDescent="0.25">
      <c r="A27" s="82" t="s">
        <v>81</v>
      </c>
      <c r="B27" s="187" t="s">
        <v>94</v>
      </c>
      <c r="C27" s="187">
        <v>0</v>
      </c>
      <c r="D27" s="187" t="s">
        <v>94</v>
      </c>
      <c r="E27" s="187" t="s">
        <v>94</v>
      </c>
      <c r="F27" s="187" t="s">
        <v>94</v>
      </c>
      <c r="I27" s="247"/>
    </row>
    <row r="28" spans="1:9" ht="13.2" x14ac:dyDescent="0.25">
      <c r="A28" s="82" t="s">
        <v>82</v>
      </c>
      <c r="B28" s="187">
        <v>0</v>
      </c>
      <c r="C28" s="187">
        <v>0</v>
      </c>
      <c r="D28" s="187">
        <v>-1</v>
      </c>
      <c r="E28" s="187">
        <v>-2</v>
      </c>
      <c r="F28" s="187" t="s">
        <v>94</v>
      </c>
      <c r="I28" s="247"/>
    </row>
    <row r="29" spans="1:9" ht="13.2" x14ac:dyDescent="0.25">
      <c r="A29" s="115" t="s">
        <v>83</v>
      </c>
      <c r="B29" s="199" t="s">
        <v>94</v>
      </c>
      <c r="C29" s="200">
        <v>0</v>
      </c>
      <c r="D29" s="200">
        <v>-1</v>
      </c>
      <c r="E29" s="200">
        <v>-2</v>
      </c>
      <c r="F29" s="200" t="s">
        <v>94</v>
      </c>
      <c r="I29" s="247"/>
    </row>
    <row r="30" spans="1:9" ht="13.2" x14ac:dyDescent="0.25">
      <c r="A30" s="163" t="s">
        <v>84</v>
      </c>
      <c r="B30" s="203" t="s">
        <v>94</v>
      </c>
      <c r="C30" s="204">
        <v>1</v>
      </c>
      <c r="D30" s="204" t="s">
        <v>94</v>
      </c>
      <c r="E30" s="204" t="s">
        <v>94</v>
      </c>
      <c r="F30" s="204" t="s">
        <v>94</v>
      </c>
      <c r="I30" s="247"/>
    </row>
    <row r="31" spans="1:9" ht="13.2" x14ac:dyDescent="0.25">
      <c r="A31" s="163" t="s">
        <v>85</v>
      </c>
      <c r="B31" s="201" t="s">
        <v>94</v>
      </c>
      <c r="C31" s="202">
        <v>0</v>
      </c>
      <c r="D31" s="202" t="s">
        <v>94</v>
      </c>
      <c r="E31" s="202" t="s">
        <v>94</v>
      </c>
      <c r="F31" s="202" t="s">
        <v>94</v>
      </c>
      <c r="I31" s="247"/>
    </row>
    <row r="32" spans="1:9" ht="13.2" x14ac:dyDescent="0.25">
      <c r="A32" s="172" t="s">
        <v>86</v>
      </c>
      <c r="B32" s="198" t="s">
        <v>94</v>
      </c>
      <c r="C32" s="198">
        <v>0</v>
      </c>
      <c r="D32" s="198">
        <v>-1</v>
      </c>
      <c r="E32" s="198" t="s">
        <v>94</v>
      </c>
      <c r="F32" s="198" t="s">
        <v>94</v>
      </c>
      <c r="I32" s="247"/>
    </row>
    <row r="33" spans="1:9" thickBot="1" x14ac:dyDescent="0.3">
      <c r="A33" s="173" t="s">
        <v>18</v>
      </c>
      <c r="B33" s="187" t="s">
        <v>94</v>
      </c>
      <c r="C33" s="187">
        <v>1</v>
      </c>
      <c r="D33" s="187" t="s">
        <v>94</v>
      </c>
      <c r="E33" s="187" t="s">
        <v>94</v>
      </c>
      <c r="F33" s="187" t="s">
        <v>94</v>
      </c>
      <c r="I33" s="247"/>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68" t="s">
        <v>74</v>
      </c>
      <c r="C1" s="168" t="s">
        <v>75</v>
      </c>
      <c r="D1" s="168" t="s">
        <v>80</v>
      </c>
      <c r="E1" s="168" t="s">
        <v>81</v>
      </c>
      <c r="F1" s="252" t="s">
        <v>263</v>
      </c>
    </row>
    <row r="2" spans="1:6" x14ac:dyDescent="0.25">
      <c r="A2" s="81" t="s">
        <v>73</v>
      </c>
      <c r="B2" s="169">
        <v>9.9999999999999995E-7</v>
      </c>
      <c r="C2" s="169">
        <v>0</v>
      </c>
      <c r="D2" s="169">
        <v>0</v>
      </c>
      <c r="E2" s="169">
        <f>(0.1/32)/1000</f>
        <v>3.1250000000000001E-6</v>
      </c>
      <c r="F2" s="252"/>
    </row>
    <row r="3" spans="1:6" x14ac:dyDescent="0.25">
      <c r="A3" s="82" t="s">
        <v>264</v>
      </c>
      <c r="B3" s="169">
        <v>0</v>
      </c>
      <c r="C3" s="169">
        <v>9.9999999999999995E-7</v>
      </c>
      <c r="D3" s="169">
        <v>0</v>
      </c>
      <c r="E3" s="169">
        <f t="shared" ref="E3:E7" si="0">(0.1/32)/1000</f>
        <v>3.1250000000000001E-6</v>
      </c>
      <c r="F3" s="252"/>
    </row>
    <row r="4" spans="1:6" x14ac:dyDescent="0.25">
      <c r="A4" s="82" t="s">
        <v>265</v>
      </c>
      <c r="B4" s="169">
        <v>0</v>
      </c>
      <c r="C4" s="169">
        <v>9.9999999999999995E-7</v>
      </c>
      <c r="D4" s="169">
        <v>0</v>
      </c>
      <c r="E4" s="169">
        <f t="shared" si="0"/>
        <v>3.1250000000000001E-6</v>
      </c>
      <c r="F4" s="252"/>
    </row>
    <row r="5" spans="1:6" x14ac:dyDescent="0.25">
      <c r="A5" s="82" t="s">
        <v>76</v>
      </c>
      <c r="B5" s="169">
        <v>9.9999999999999995E-7</v>
      </c>
      <c r="C5" s="169">
        <v>9.9999999999999995E-7</v>
      </c>
      <c r="D5" s="169">
        <v>0</v>
      </c>
      <c r="E5" s="169">
        <v>0</v>
      </c>
      <c r="F5" s="252"/>
    </row>
    <row r="6" spans="1:6" x14ac:dyDescent="0.25">
      <c r="A6" s="82" t="s">
        <v>126</v>
      </c>
      <c r="B6" s="169">
        <v>9.9999999999999995E-7</v>
      </c>
      <c r="C6" s="169">
        <v>0</v>
      </c>
      <c r="D6" s="169">
        <v>0</v>
      </c>
      <c r="E6" s="169">
        <f t="shared" si="0"/>
        <v>3.1250000000000001E-6</v>
      </c>
      <c r="F6" s="252"/>
    </row>
    <row r="7" spans="1:6" ht="13.8" thickBot="1" x14ac:dyDescent="0.3">
      <c r="A7" s="94" t="s">
        <v>127</v>
      </c>
      <c r="B7" s="169">
        <v>9.9999999999999995E-7</v>
      </c>
      <c r="C7" s="169">
        <v>0</v>
      </c>
      <c r="D7" s="169">
        <v>9.9999999999999995E-7</v>
      </c>
      <c r="E7" s="169">
        <f t="shared" si="0"/>
        <v>3.1250000000000001E-6</v>
      </c>
      <c r="F7" s="252"/>
    </row>
  </sheetData>
  <mergeCells count="1">
    <mergeCell ref="F1:F7"/>
  </mergeCells>
  <phoneticPr fontId="41" type="noConversion"/>
  <conditionalFormatting sqref="B2:E7">
    <cfRule type="cellIs" dxfId="57"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68" t="s">
        <v>74</v>
      </c>
      <c r="C1" s="168" t="s">
        <v>75</v>
      </c>
      <c r="D1" s="168" t="s">
        <v>81</v>
      </c>
      <c r="E1" s="252" t="s">
        <v>262</v>
      </c>
    </row>
    <row r="2" spans="1:5" x14ac:dyDescent="0.25">
      <c r="A2" s="81" t="s">
        <v>73</v>
      </c>
      <c r="B2" s="169">
        <v>0</v>
      </c>
      <c r="C2" s="169">
        <v>0</v>
      </c>
      <c r="D2" s="169">
        <v>0</v>
      </c>
      <c r="E2" s="252"/>
    </row>
    <row r="3" spans="1:5" x14ac:dyDescent="0.25">
      <c r="A3" s="82" t="s">
        <v>264</v>
      </c>
      <c r="B3" s="169">
        <v>0</v>
      </c>
      <c r="C3" s="169">
        <v>0</v>
      </c>
      <c r="D3" s="169">
        <v>0</v>
      </c>
      <c r="E3" s="252"/>
    </row>
    <row r="4" spans="1:5" x14ac:dyDescent="0.25">
      <c r="A4" s="82" t="s">
        <v>265</v>
      </c>
      <c r="B4" s="169">
        <v>0</v>
      </c>
      <c r="C4" s="169">
        <v>0</v>
      </c>
      <c r="D4" s="169">
        <v>0</v>
      </c>
      <c r="E4" s="252"/>
    </row>
    <row r="5" spans="1:5" x14ac:dyDescent="0.25">
      <c r="A5" s="82" t="s">
        <v>76</v>
      </c>
      <c r="B5" s="169">
        <v>0</v>
      </c>
      <c r="C5" s="169">
        <v>0</v>
      </c>
      <c r="D5" s="169">
        <f>0.01*(1/32)*(1/1000)</f>
        <v>3.1250000000000003E-7</v>
      </c>
      <c r="E5" s="252"/>
    </row>
    <row r="6" spans="1:5" x14ac:dyDescent="0.25">
      <c r="A6" s="82" t="s">
        <v>126</v>
      </c>
      <c r="B6" s="169">
        <v>0</v>
      </c>
      <c r="C6" s="169">
        <v>0</v>
      </c>
      <c r="D6" s="169">
        <v>0</v>
      </c>
      <c r="E6" s="252"/>
    </row>
    <row r="7" spans="1:5" ht="13.8" thickBot="1" x14ac:dyDescent="0.3">
      <c r="A7" s="94" t="s">
        <v>127</v>
      </c>
      <c r="B7" s="169">
        <v>0</v>
      </c>
      <c r="C7" s="169">
        <v>0</v>
      </c>
      <c r="D7" s="169">
        <v>0</v>
      </c>
      <c r="E7" s="252"/>
    </row>
  </sheetData>
  <mergeCells count="1">
    <mergeCell ref="E1:E7"/>
  </mergeCells>
  <conditionalFormatting sqref="B2:D7">
    <cfRule type="cellIs" dxfId="5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E7"/>
  <sheetViews>
    <sheetView workbookViewId="0">
      <selection activeCell="C7" sqref="C7"/>
    </sheetView>
  </sheetViews>
  <sheetFormatPr defaultRowHeight="13.2" x14ac:dyDescent="0.25"/>
  <cols>
    <col min="1" max="1" width="11.33203125" bestFit="1" customWidth="1"/>
    <col min="2" max="2" width="11.6640625" customWidth="1"/>
    <col min="3" max="3" width="8.77734375" customWidth="1"/>
    <col min="4" max="4" width="14.6640625" customWidth="1"/>
    <col min="5" max="5" width="17.44140625" customWidth="1"/>
  </cols>
  <sheetData>
    <row r="1" spans="1:5" ht="13.8" thickBot="1" x14ac:dyDescent="0.3">
      <c r="B1" s="168" t="s">
        <v>261</v>
      </c>
      <c r="C1" s="168" t="s">
        <v>72</v>
      </c>
      <c r="D1" s="168" t="s">
        <v>259</v>
      </c>
      <c r="E1" s="168" t="s">
        <v>260</v>
      </c>
    </row>
    <row r="2" spans="1:5" x14ac:dyDescent="0.25">
      <c r="A2" s="81" t="s">
        <v>73</v>
      </c>
      <c r="B2" s="169">
        <f>0.0415</f>
        <v>4.1500000000000002E-2</v>
      </c>
      <c r="C2" s="170" t="s">
        <v>74</v>
      </c>
      <c r="D2" s="171">
        <f>E2*0.1</f>
        <v>1E-3</v>
      </c>
      <c r="E2" s="171">
        <v>0.01</v>
      </c>
    </row>
    <row r="3" spans="1:5" x14ac:dyDescent="0.25">
      <c r="A3" s="82" t="s">
        <v>264</v>
      </c>
      <c r="B3" s="169">
        <v>2.07E-2</v>
      </c>
      <c r="C3" s="170" t="s">
        <v>75</v>
      </c>
      <c r="D3" s="171">
        <f t="shared" ref="D3:D7" si="0">E3*0.1</f>
        <v>1E-3</v>
      </c>
      <c r="E3" s="171">
        <v>0.01</v>
      </c>
    </row>
    <row r="4" spans="1:5" x14ac:dyDescent="0.25">
      <c r="A4" s="82" t="s">
        <v>265</v>
      </c>
      <c r="B4" s="169">
        <v>2.07E-2</v>
      </c>
      <c r="C4" s="170" t="s">
        <v>75</v>
      </c>
      <c r="D4" s="171">
        <f t="shared" si="0"/>
        <v>1E-3</v>
      </c>
      <c r="E4" s="171">
        <v>0.01</v>
      </c>
    </row>
    <row r="5" spans="1:5" x14ac:dyDescent="0.25">
      <c r="A5" s="82" t="s">
        <v>76</v>
      </c>
      <c r="B5" s="169">
        <f>0.066</f>
        <v>6.6000000000000003E-2</v>
      </c>
      <c r="C5" s="170" t="s">
        <v>74</v>
      </c>
      <c r="D5" s="171">
        <f t="shared" si="0"/>
        <v>1E-3</v>
      </c>
      <c r="E5" s="171">
        <v>0.01</v>
      </c>
    </row>
    <row r="6" spans="1:5" x14ac:dyDescent="0.25">
      <c r="A6" s="82" t="s">
        <v>126</v>
      </c>
      <c r="B6" s="169">
        <v>6.2199999999999998E-2</v>
      </c>
      <c r="C6" s="169" t="s">
        <v>74</v>
      </c>
      <c r="D6" s="171">
        <f t="shared" si="0"/>
        <v>1E-3</v>
      </c>
      <c r="E6" s="171">
        <v>0.01</v>
      </c>
    </row>
    <row r="7" spans="1:5" ht="13.8" thickBot="1" x14ac:dyDescent="0.3">
      <c r="A7" s="94" t="s">
        <v>127</v>
      </c>
      <c r="B7" s="169">
        <v>1.7399999999999999E-2</v>
      </c>
      <c r="C7" s="169" t="s">
        <v>80</v>
      </c>
      <c r="D7" s="171">
        <f t="shared" si="0"/>
        <v>1E-3</v>
      </c>
      <c r="E7" s="171">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55" t="s">
        <v>73</v>
      </c>
      <c r="C1" s="253"/>
      <c r="D1" s="254"/>
      <c r="E1" s="255" t="s">
        <v>264</v>
      </c>
      <c r="F1" s="253"/>
      <c r="G1" s="254"/>
      <c r="H1" s="255" t="s">
        <v>265</v>
      </c>
      <c r="I1" s="253"/>
      <c r="J1" s="254"/>
      <c r="K1" s="253" t="s">
        <v>76</v>
      </c>
      <c r="L1" s="253"/>
      <c r="M1" s="254"/>
      <c r="N1" s="253" t="s">
        <v>126</v>
      </c>
      <c r="O1" s="253"/>
      <c r="P1" s="254"/>
      <c r="Q1" s="253" t="s">
        <v>127</v>
      </c>
      <c r="R1" s="253"/>
      <c r="S1" s="254"/>
    </row>
    <row r="2" spans="1:19" ht="13.8" thickBot="1" x14ac:dyDescent="0.3">
      <c r="A2" s="69"/>
      <c r="B2" s="212" t="s">
        <v>77</v>
      </c>
      <c r="C2" s="213" t="s">
        <v>78</v>
      </c>
      <c r="D2" s="214" t="s">
        <v>79</v>
      </c>
      <c r="E2" s="212" t="s">
        <v>77</v>
      </c>
      <c r="F2" s="213" t="s">
        <v>78</v>
      </c>
      <c r="G2" s="214" t="s">
        <v>79</v>
      </c>
      <c r="H2" s="212" t="s">
        <v>77</v>
      </c>
      <c r="I2" s="213" t="s">
        <v>78</v>
      </c>
      <c r="J2" s="214" t="s">
        <v>79</v>
      </c>
      <c r="K2" s="213" t="s">
        <v>77</v>
      </c>
      <c r="L2" s="213" t="s">
        <v>78</v>
      </c>
      <c r="M2" s="214" t="s">
        <v>79</v>
      </c>
      <c r="N2" s="213" t="s">
        <v>77</v>
      </c>
      <c r="O2" s="213" t="s">
        <v>78</v>
      </c>
      <c r="P2" s="214" t="s">
        <v>79</v>
      </c>
      <c r="Q2" s="213" t="s">
        <v>77</v>
      </c>
      <c r="R2" s="213" t="s">
        <v>78</v>
      </c>
      <c r="S2" s="214" t="s">
        <v>79</v>
      </c>
    </row>
    <row r="3" spans="1:19" x14ac:dyDescent="0.25">
      <c r="A3" s="81" t="s">
        <v>74</v>
      </c>
      <c r="B3" s="218">
        <v>-1</v>
      </c>
      <c r="C3" s="112">
        <v>0</v>
      </c>
      <c r="D3" s="219">
        <v>0</v>
      </c>
      <c r="E3" s="218">
        <v>0</v>
      </c>
      <c r="F3" s="112">
        <v>0</v>
      </c>
      <c r="G3" s="219">
        <v>0</v>
      </c>
      <c r="H3" s="218">
        <v>0</v>
      </c>
      <c r="I3" s="112">
        <v>0</v>
      </c>
      <c r="J3" s="219">
        <v>0</v>
      </c>
      <c r="K3" s="218">
        <v>-1</v>
      </c>
      <c r="L3" s="112">
        <v>0</v>
      </c>
      <c r="M3" s="219">
        <v>0</v>
      </c>
      <c r="N3" s="218">
        <v>-1</v>
      </c>
      <c r="O3" s="112">
        <v>0</v>
      </c>
      <c r="P3" s="219">
        <v>0</v>
      </c>
      <c r="Q3" s="218">
        <v>-1</v>
      </c>
      <c r="R3" s="112">
        <v>0</v>
      </c>
      <c r="S3" s="219">
        <v>0</v>
      </c>
    </row>
    <row r="4" spans="1:19" x14ac:dyDescent="0.25">
      <c r="A4" s="82" t="s">
        <v>75</v>
      </c>
      <c r="B4" s="220">
        <v>1</v>
      </c>
      <c r="C4" s="221">
        <v>0</v>
      </c>
      <c r="D4" s="222">
        <v>0</v>
      </c>
      <c r="E4" s="220">
        <v>-1</v>
      </c>
      <c r="F4" s="221">
        <v>0</v>
      </c>
      <c r="G4" s="222">
        <v>0</v>
      </c>
      <c r="H4" s="220">
        <v>-1</v>
      </c>
      <c r="I4" s="221">
        <v>0</v>
      </c>
      <c r="J4" s="222">
        <v>0</v>
      </c>
      <c r="K4" s="220">
        <v>-1</v>
      </c>
      <c r="L4" s="221">
        <v>0</v>
      </c>
      <c r="M4" s="222">
        <v>0</v>
      </c>
      <c r="N4" s="220">
        <v>0</v>
      </c>
      <c r="O4" s="221">
        <v>0</v>
      </c>
      <c r="P4" s="222">
        <v>0</v>
      </c>
      <c r="Q4" s="220">
        <v>2</v>
      </c>
      <c r="R4" s="221">
        <v>0</v>
      </c>
      <c r="S4" s="222">
        <v>0</v>
      </c>
    </row>
    <row r="5" spans="1:19" x14ac:dyDescent="0.25">
      <c r="A5" s="82" t="s">
        <v>80</v>
      </c>
      <c r="B5" s="220">
        <v>0</v>
      </c>
      <c r="C5" s="221">
        <v>0</v>
      </c>
      <c r="D5" s="222">
        <v>0</v>
      </c>
      <c r="E5" s="220">
        <v>1</v>
      </c>
      <c r="F5" s="221">
        <v>0</v>
      </c>
      <c r="G5" s="222">
        <v>0</v>
      </c>
      <c r="H5" s="220">
        <v>1</v>
      </c>
      <c r="I5" s="221">
        <v>0</v>
      </c>
      <c r="J5" s="222">
        <v>0</v>
      </c>
      <c r="K5" s="220">
        <v>0</v>
      </c>
      <c r="L5" s="221">
        <v>0</v>
      </c>
      <c r="M5" s="222">
        <v>0</v>
      </c>
      <c r="N5" s="220">
        <v>1</v>
      </c>
      <c r="O5" s="221">
        <v>0</v>
      </c>
      <c r="P5" s="222">
        <v>0</v>
      </c>
      <c r="Q5" s="220">
        <v>-1</v>
      </c>
      <c r="R5" s="221">
        <v>0</v>
      </c>
      <c r="S5" s="222">
        <v>0</v>
      </c>
    </row>
    <row r="6" spans="1:19" x14ac:dyDescent="0.25">
      <c r="A6" s="82" t="s">
        <v>81</v>
      </c>
      <c r="B6" s="220">
        <v>-1.5</v>
      </c>
      <c r="C6" s="221">
        <v>0</v>
      </c>
      <c r="D6" s="222">
        <v>0</v>
      </c>
      <c r="E6" s="220">
        <v>-0.5</v>
      </c>
      <c r="F6" s="221">
        <v>0</v>
      </c>
      <c r="G6" s="222">
        <v>0</v>
      </c>
      <c r="H6" s="220">
        <v>-0.5</v>
      </c>
      <c r="I6" s="221">
        <v>0</v>
      </c>
      <c r="J6" s="222">
        <v>0</v>
      </c>
      <c r="K6" s="220">
        <v>0</v>
      </c>
      <c r="L6" s="221">
        <v>0</v>
      </c>
      <c r="M6" s="222">
        <v>0</v>
      </c>
      <c r="N6" s="220">
        <v>-2</v>
      </c>
      <c r="O6" s="221">
        <v>0</v>
      </c>
      <c r="P6" s="222">
        <v>0</v>
      </c>
      <c r="Q6" s="220">
        <v>-1</v>
      </c>
      <c r="R6" s="221">
        <v>0</v>
      </c>
      <c r="S6" s="222">
        <v>0</v>
      </c>
    </row>
    <row r="7" spans="1:19" s="63" customFormat="1" x14ac:dyDescent="0.25">
      <c r="A7" s="82" t="s">
        <v>82</v>
      </c>
      <c r="B7" s="220">
        <v>0</v>
      </c>
      <c r="C7" s="221">
        <v>-1</v>
      </c>
      <c r="D7" s="222">
        <v>1</v>
      </c>
      <c r="E7" s="220">
        <v>0</v>
      </c>
      <c r="F7" s="221">
        <v>-1</v>
      </c>
      <c r="G7" s="222">
        <v>1</v>
      </c>
      <c r="H7" s="220">
        <v>0</v>
      </c>
      <c r="I7" s="221">
        <v>-1</v>
      </c>
      <c r="J7" s="222">
        <v>1</v>
      </c>
      <c r="K7" s="220">
        <v>0</v>
      </c>
      <c r="L7" s="221">
        <v>-1</v>
      </c>
      <c r="M7" s="222">
        <v>1</v>
      </c>
      <c r="N7" s="220">
        <v>0</v>
      </c>
      <c r="O7" s="221">
        <v>-1</v>
      </c>
      <c r="P7" s="222">
        <v>1</v>
      </c>
      <c r="Q7" s="220">
        <v>0</v>
      </c>
      <c r="R7" s="221">
        <v>-1</v>
      </c>
      <c r="S7" s="222">
        <v>1</v>
      </c>
    </row>
    <row r="8" spans="1:19" s="63" customFormat="1" x14ac:dyDescent="0.25">
      <c r="A8" s="82" t="s">
        <v>83</v>
      </c>
      <c r="B8" s="223">
        <v>0</v>
      </c>
      <c r="C8" s="215">
        <v>0</v>
      </c>
      <c r="D8" s="224">
        <v>0</v>
      </c>
      <c r="E8" s="223">
        <v>0</v>
      </c>
      <c r="F8" s="215">
        <v>0</v>
      </c>
      <c r="G8" s="224">
        <v>0</v>
      </c>
      <c r="H8" s="223">
        <v>0</v>
      </c>
      <c r="I8" s="215">
        <v>0</v>
      </c>
      <c r="J8" s="224">
        <v>0</v>
      </c>
      <c r="K8" s="223">
        <v>0</v>
      </c>
      <c r="L8" s="215">
        <v>0</v>
      </c>
      <c r="M8" s="224">
        <v>0</v>
      </c>
      <c r="N8" s="223">
        <v>0</v>
      </c>
      <c r="O8" s="215">
        <v>0</v>
      </c>
      <c r="P8" s="224">
        <v>0</v>
      </c>
      <c r="Q8" s="223">
        <v>0</v>
      </c>
      <c r="R8" s="215">
        <v>0</v>
      </c>
      <c r="S8" s="224">
        <v>0</v>
      </c>
    </row>
    <row r="9" spans="1:19" x14ac:dyDescent="0.25">
      <c r="A9" s="163" t="s">
        <v>84</v>
      </c>
      <c r="B9" s="216">
        <v>0</v>
      </c>
      <c r="C9" s="217">
        <v>0</v>
      </c>
      <c r="D9" s="225">
        <v>0</v>
      </c>
      <c r="E9" s="216">
        <v>0</v>
      </c>
      <c r="F9" s="217">
        <v>0</v>
      </c>
      <c r="G9" s="225">
        <v>0</v>
      </c>
      <c r="H9" s="216">
        <v>0</v>
      </c>
      <c r="I9" s="217">
        <v>0</v>
      </c>
      <c r="J9" s="225">
        <v>0</v>
      </c>
      <c r="K9" s="216">
        <v>0</v>
      </c>
      <c r="L9" s="217">
        <v>0</v>
      </c>
      <c r="M9" s="225">
        <v>0</v>
      </c>
      <c r="N9" s="216">
        <v>0</v>
      </c>
      <c r="O9" s="217">
        <v>0</v>
      </c>
      <c r="P9" s="225">
        <v>0</v>
      </c>
      <c r="Q9" s="216">
        <v>0</v>
      </c>
      <c r="R9" s="217">
        <v>0</v>
      </c>
      <c r="S9" s="225">
        <v>0</v>
      </c>
    </row>
    <row r="10" spans="1:19" x14ac:dyDescent="0.25">
      <c r="A10" s="163" t="s">
        <v>85</v>
      </c>
      <c r="B10" s="216">
        <v>0</v>
      </c>
      <c r="C10" s="217">
        <v>0</v>
      </c>
      <c r="D10" s="225">
        <v>0</v>
      </c>
      <c r="E10" s="216">
        <v>0</v>
      </c>
      <c r="F10" s="217">
        <v>0</v>
      </c>
      <c r="G10" s="225">
        <v>0</v>
      </c>
      <c r="H10" s="216">
        <v>0</v>
      </c>
      <c r="I10" s="217">
        <v>0</v>
      </c>
      <c r="J10" s="225">
        <v>0</v>
      </c>
      <c r="K10" s="216">
        <v>1</v>
      </c>
      <c r="L10" s="217">
        <v>0</v>
      </c>
      <c r="M10" s="225">
        <v>0</v>
      </c>
      <c r="N10" s="216">
        <v>0</v>
      </c>
      <c r="O10" s="217">
        <v>0</v>
      </c>
      <c r="P10" s="225">
        <v>0</v>
      </c>
      <c r="Q10" s="216">
        <v>0</v>
      </c>
      <c r="R10" s="217">
        <v>0</v>
      </c>
      <c r="S10" s="225">
        <v>0</v>
      </c>
    </row>
    <row r="11" spans="1:19" x14ac:dyDescent="0.25">
      <c r="A11" s="211" t="s">
        <v>86</v>
      </c>
      <c r="B11" s="226">
        <v>1</v>
      </c>
      <c r="C11" s="109">
        <v>0</v>
      </c>
      <c r="D11" s="227">
        <v>0</v>
      </c>
      <c r="E11" s="226">
        <v>0</v>
      </c>
      <c r="F11" s="109">
        <v>0</v>
      </c>
      <c r="G11" s="227">
        <v>0</v>
      </c>
      <c r="H11" s="226">
        <v>0</v>
      </c>
      <c r="I11" s="109">
        <v>0</v>
      </c>
      <c r="J11" s="227">
        <v>0</v>
      </c>
      <c r="K11" s="226">
        <v>2</v>
      </c>
      <c r="L11" s="109">
        <v>0</v>
      </c>
      <c r="M11" s="227">
        <v>0</v>
      </c>
      <c r="N11" s="226">
        <v>1</v>
      </c>
      <c r="O11" s="109">
        <v>0</v>
      </c>
      <c r="P11" s="227">
        <v>0</v>
      </c>
      <c r="Q11" s="226">
        <v>1</v>
      </c>
      <c r="R11" s="109">
        <v>0</v>
      </c>
      <c r="S11" s="227">
        <v>0</v>
      </c>
    </row>
    <row r="12" spans="1:19" ht="13.8" thickBot="1" x14ac:dyDescent="0.3">
      <c r="A12" s="173" t="s">
        <v>18</v>
      </c>
      <c r="B12" s="107">
        <v>1</v>
      </c>
      <c r="C12" s="228">
        <v>0</v>
      </c>
      <c r="D12" s="229">
        <v>0</v>
      </c>
      <c r="E12" s="107">
        <v>0</v>
      </c>
      <c r="F12" s="228">
        <v>0</v>
      </c>
      <c r="G12" s="229">
        <v>0</v>
      </c>
      <c r="H12" s="107">
        <v>0</v>
      </c>
      <c r="I12" s="228">
        <v>0</v>
      </c>
      <c r="J12" s="229">
        <v>0</v>
      </c>
      <c r="K12" s="107">
        <v>0</v>
      </c>
      <c r="L12" s="228">
        <v>0</v>
      </c>
      <c r="M12" s="229">
        <v>0</v>
      </c>
      <c r="N12" s="107">
        <v>2</v>
      </c>
      <c r="O12" s="228">
        <v>0</v>
      </c>
      <c r="P12" s="229">
        <v>0</v>
      </c>
      <c r="Q12" s="107">
        <v>2</v>
      </c>
      <c r="R12" s="228">
        <v>0</v>
      </c>
      <c r="S12" s="229">
        <v>0</v>
      </c>
    </row>
  </sheetData>
  <mergeCells count="6">
    <mergeCell ref="Q1:S1"/>
    <mergeCell ref="B1:D1"/>
    <mergeCell ref="E1:G1"/>
    <mergeCell ref="H1:J1"/>
    <mergeCell ref="K1:M1"/>
    <mergeCell ref="N1:P1"/>
  </mergeCells>
  <conditionalFormatting sqref="B10:B12 E3:F7 E10:G12 J10:J12">
    <cfRule type="cellIs" dxfId="55" priority="94" operator="equal">
      <formula>0</formula>
    </cfRule>
  </conditionalFormatting>
  <conditionalFormatting sqref="G3">
    <cfRule type="cellIs" dxfId="54" priority="60" operator="equal">
      <formula>0</formula>
    </cfRule>
  </conditionalFormatting>
  <conditionalFormatting sqref="D10:D12">
    <cfRule type="cellIs" dxfId="53" priority="73" operator="equal">
      <formula>0</formula>
    </cfRule>
  </conditionalFormatting>
  <conditionalFormatting sqref="D9">
    <cfRule type="cellIs" dxfId="52" priority="56" operator="equal">
      <formula>0</formula>
    </cfRule>
  </conditionalFormatting>
  <conditionalFormatting sqref="B3:B7">
    <cfRule type="cellIs" dxfId="51" priority="67" operator="equal">
      <formula>0</formula>
    </cfRule>
  </conditionalFormatting>
  <conditionalFormatting sqref="D3">
    <cfRule type="cellIs" dxfId="50" priority="66" operator="equal">
      <formula>0</formula>
    </cfRule>
  </conditionalFormatting>
  <conditionalFormatting sqref="D4:D7">
    <cfRule type="cellIs" dxfId="49" priority="65" operator="equal">
      <formula>0</formula>
    </cfRule>
  </conditionalFormatting>
  <conditionalFormatting sqref="G4:G7">
    <cfRule type="cellIs" dxfId="48" priority="59" operator="equal">
      <formula>0</formula>
    </cfRule>
  </conditionalFormatting>
  <conditionalFormatting sqref="B9">
    <cfRule type="cellIs" dxfId="47" priority="58" operator="equal">
      <formula>0</formula>
    </cfRule>
  </conditionalFormatting>
  <conditionalFormatting sqref="E9">
    <cfRule type="cellIs" dxfId="46" priority="55" operator="equal">
      <formula>0</formula>
    </cfRule>
  </conditionalFormatting>
  <conditionalFormatting sqref="F9">
    <cfRule type="cellIs" dxfId="45" priority="54" operator="equal">
      <formula>0</formula>
    </cfRule>
  </conditionalFormatting>
  <conditionalFormatting sqref="G9">
    <cfRule type="cellIs" dxfId="44" priority="53" operator="equal">
      <formula>0</formula>
    </cfRule>
  </conditionalFormatting>
  <conditionalFormatting sqref="B8">
    <cfRule type="cellIs" dxfId="43" priority="52" operator="equal">
      <formula>0</formula>
    </cfRule>
  </conditionalFormatting>
  <conditionalFormatting sqref="D8">
    <cfRule type="cellIs" dxfId="42" priority="50" operator="equal">
      <formula>0</formula>
    </cfRule>
  </conditionalFormatting>
  <conditionalFormatting sqref="E8">
    <cfRule type="cellIs" dxfId="41" priority="49" operator="equal">
      <formula>0</formula>
    </cfRule>
  </conditionalFormatting>
  <conditionalFormatting sqref="F8">
    <cfRule type="cellIs" dxfId="40" priority="48" operator="equal">
      <formula>0</formula>
    </cfRule>
  </conditionalFormatting>
  <conditionalFormatting sqref="G8">
    <cfRule type="cellIs" dxfId="39" priority="47" operator="equal">
      <formula>0</formula>
    </cfRule>
  </conditionalFormatting>
  <conditionalFormatting sqref="H3:I7 H10:I12">
    <cfRule type="cellIs" dxfId="38" priority="46" operator="equal">
      <formula>0</formula>
    </cfRule>
  </conditionalFormatting>
  <conditionalFormatting sqref="J3">
    <cfRule type="cellIs" dxfId="37" priority="42" operator="equal">
      <formula>0</formula>
    </cfRule>
  </conditionalFormatting>
  <conditionalFormatting sqref="J4:J7">
    <cfRule type="cellIs" dxfId="36" priority="41" operator="equal">
      <formula>0</formula>
    </cfRule>
  </conditionalFormatting>
  <conditionalFormatting sqref="H9">
    <cfRule type="cellIs" dxfId="35" priority="40" operator="equal">
      <formula>0</formula>
    </cfRule>
  </conditionalFormatting>
  <conditionalFormatting sqref="I9">
    <cfRule type="cellIs" dxfId="34" priority="39" operator="equal">
      <formula>0</formula>
    </cfRule>
  </conditionalFormatting>
  <conditionalFormatting sqref="J9">
    <cfRule type="cellIs" dxfId="33" priority="38" operator="equal">
      <formula>0</formula>
    </cfRule>
  </conditionalFormatting>
  <conditionalFormatting sqref="H8">
    <cfRule type="cellIs" dxfId="32" priority="37" operator="equal">
      <formula>0</formula>
    </cfRule>
  </conditionalFormatting>
  <conditionalFormatting sqref="I8">
    <cfRule type="cellIs" dxfId="31" priority="36" operator="equal">
      <formula>0</formula>
    </cfRule>
  </conditionalFormatting>
  <conditionalFormatting sqref="J8">
    <cfRule type="cellIs" dxfId="30" priority="35" operator="equal">
      <formula>0</formula>
    </cfRule>
  </conditionalFormatting>
  <conditionalFormatting sqref="L3:L7 K10:L12 N10:N12 Q10:Q12">
    <cfRule type="cellIs" dxfId="29" priority="34" operator="equal">
      <formula>0</formula>
    </cfRule>
  </conditionalFormatting>
  <conditionalFormatting sqref="M10:M12">
    <cfRule type="cellIs" dxfId="28" priority="33" operator="equal">
      <formula>0</formula>
    </cfRule>
  </conditionalFormatting>
  <conditionalFormatting sqref="M9">
    <cfRule type="cellIs" dxfId="27" priority="26" operator="equal">
      <formula>0</formula>
    </cfRule>
  </conditionalFormatting>
  <conditionalFormatting sqref="K3:K7 N3:N7 Q3:Q7">
    <cfRule type="cellIs" dxfId="26" priority="31" operator="equal">
      <formula>0</formula>
    </cfRule>
  </conditionalFormatting>
  <conditionalFormatting sqref="M3">
    <cfRule type="cellIs" dxfId="25" priority="30" operator="equal">
      <formula>0</formula>
    </cfRule>
  </conditionalFormatting>
  <conditionalFormatting sqref="M4:M7">
    <cfRule type="cellIs" dxfId="24" priority="29" operator="equal">
      <formula>0</formula>
    </cfRule>
  </conditionalFormatting>
  <conditionalFormatting sqref="K9 N9 Q9">
    <cfRule type="cellIs" dxfId="23" priority="28" operator="equal">
      <formula>0</formula>
    </cfRule>
  </conditionalFormatting>
  <conditionalFormatting sqref="L9">
    <cfRule type="cellIs" dxfId="22" priority="27" operator="equal">
      <formula>0</formula>
    </cfRule>
  </conditionalFormatting>
  <conditionalFormatting sqref="K8 N8 Q8">
    <cfRule type="cellIs" dxfId="21" priority="25" operator="equal">
      <formula>0</formula>
    </cfRule>
  </conditionalFormatting>
  <conditionalFormatting sqref="L8">
    <cfRule type="cellIs" dxfId="20" priority="24" operator="equal">
      <formula>0</formula>
    </cfRule>
  </conditionalFormatting>
  <conditionalFormatting sqref="M8">
    <cfRule type="cellIs" dxfId="19" priority="23" operator="equal">
      <formula>0</formula>
    </cfRule>
  </conditionalFormatting>
  <conditionalFormatting sqref="O3:O7 O10:O12">
    <cfRule type="cellIs" dxfId="18" priority="22" operator="equal">
      <formula>0</formula>
    </cfRule>
  </conditionalFormatting>
  <conditionalFormatting sqref="O9">
    <cfRule type="cellIs" dxfId="17" priority="21" operator="equal">
      <formula>0</formula>
    </cfRule>
  </conditionalFormatting>
  <conditionalFormatting sqref="O8">
    <cfRule type="cellIs" dxfId="16" priority="20" operator="equal">
      <formula>0</formula>
    </cfRule>
  </conditionalFormatting>
  <conditionalFormatting sqref="R3:R7 R10:R12">
    <cfRule type="cellIs" dxfId="15" priority="19" operator="equal">
      <formula>0</formula>
    </cfRule>
  </conditionalFormatting>
  <conditionalFormatting sqref="R9">
    <cfRule type="cellIs" dxfId="14" priority="18" operator="equal">
      <formula>0</formula>
    </cfRule>
  </conditionalFormatting>
  <conditionalFormatting sqref="R8">
    <cfRule type="cellIs" dxfId="13" priority="17" operator="equal">
      <formula>0</formula>
    </cfRule>
  </conditionalFormatting>
  <conditionalFormatting sqref="P10:P12">
    <cfRule type="cellIs" dxfId="12" priority="16" operator="equal">
      <formula>0</formula>
    </cfRule>
  </conditionalFormatting>
  <conditionalFormatting sqref="P9">
    <cfRule type="cellIs" dxfId="11" priority="13" operator="equal">
      <formula>0</formula>
    </cfRule>
  </conditionalFormatting>
  <conditionalFormatting sqref="P3">
    <cfRule type="cellIs" dxfId="10" priority="15" operator="equal">
      <formula>0</formula>
    </cfRule>
  </conditionalFormatting>
  <conditionalFormatting sqref="P4:P7">
    <cfRule type="cellIs" dxfId="9" priority="14" operator="equal">
      <formula>0</formula>
    </cfRule>
  </conditionalFormatting>
  <conditionalFormatting sqref="P8">
    <cfRule type="cellIs" dxfId="8" priority="12" operator="equal">
      <formula>0</formula>
    </cfRule>
  </conditionalFormatting>
  <conditionalFormatting sqref="S10:S12">
    <cfRule type="cellIs" dxfId="7" priority="11" operator="equal">
      <formula>0</formula>
    </cfRule>
  </conditionalFormatting>
  <conditionalFormatting sqref="S9">
    <cfRule type="cellIs" dxfId="6" priority="8" operator="equal">
      <formula>0</formula>
    </cfRule>
  </conditionalFormatting>
  <conditionalFormatting sqref="S3">
    <cfRule type="cellIs" dxfId="5" priority="10" operator="equal">
      <formula>0</formula>
    </cfRule>
  </conditionalFormatting>
  <conditionalFormatting sqref="S4:S7">
    <cfRule type="cellIs" dxfId="4" priority="9" operator="equal">
      <formula>0</formula>
    </cfRule>
  </conditionalFormatting>
  <conditionalFormatting sqref="S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0" t="s">
        <v>0</v>
      </c>
      <c r="T2" s="230"/>
      <c r="U2" s="230"/>
      <c r="V2" s="230"/>
      <c r="W2" s="230" t="s">
        <v>1</v>
      </c>
      <c r="X2" s="230"/>
      <c r="Y2" s="230"/>
      <c r="Z2" s="230"/>
      <c r="AA2" s="230" t="s">
        <v>2</v>
      </c>
      <c r="AB2" s="230"/>
      <c r="AC2" s="230"/>
      <c r="AD2" s="230"/>
      <c r="AE2" s="230" t="s">
        <v>3</v>
      </c>
      <c r="AF2" s="230"/>
      <c r="AG2" s="230"/>
      <c r="AH2" s="230"/>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91" t="s">
        <v>28</v>
      </c>
      <c r="AJ3" s="93"/>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93"/>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92"/>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92"/>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92"/>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92"/>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92"/>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92"/>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92"/>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92"/>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92"/>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92"/>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92"/>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92"/>
    </row>
    <row r="17" spans="2:36" ht="15.6" x14ac:dyDescent="0.3">
      <c r="B17" s="20" t="s">
        <v>33</v>
      </c>
      <c r="C17" s="21">
        <v>-136.9</v>
      </c>
      <c r="D17" s="21">
        <f t="shared" ref="D17:E19" si="7">D5</f>
        <v>300.12884335522256</v>
      </c>
      <c r="E17" s="22">
        <f t="shared" si="7"/>
        <v>3500</v>
      </c>
      <c r="F17" s="21">
        <f>(D17+E17)/(-C17)-V5</f>
        <v>28.658428366363932</v>
      </c>
      <c r="G17" s="23">
        <f>1/F17</f>
        <v>3.4893748785390075E-2</v>
      </c>
      <c r="J17" s="231" t="s">
        <v>54</v>
      </c>
      <c r="K17" s="234"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2"/>
      <c r="K18" s="235"/>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2"/>
      <c r="K19" s="235"/>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2"/>
      <c r="K20" s="235"/>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2"/>
      <c r="K21" s="235"/>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2"/>
      <c r="K22" s="235"/>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2"/>
      <c r="K23" s="235"/>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2"/>
      <c r="K24" s="235"/>
      <c r="V24" s="51" t="s">
        <v>63</v>
      </c>
      <c r="Z24" s="51" t="s">
        <v>63</v>
      </c>
      <c r="AD24" s="51" t="s">
        <v>63</v>
      </c>
      <c r="AH24" s="51" t="s">
        <v>63</v>
      </c>
    </row>
    <row r="25" spans="2:36" ht="15.6" x14ac:dyDescent="0.3">
      <c r="B25" s="58"/>
      <c r="C25" s="58"/>
      <c r="D25" s="19"/>
      <c r="E25" s="19"/>
      <c r="F25" s="19"/>
      <c r="G25" s="59"/>
      <c r="J25" s="232"/>
      <c r="K25" s="235"/>
    </row>
    <row r="26" spans="2:36" ht="17.399999999999999" x14ac:dyDescent="0.3">
      <c r="B26" s="58"/>
      <c r="C26" s="58"/>
      <c r="D26" s="19"/>
      <c r="E26" s="19"/>
      <c r="F26" s="19"/>
      <c r="G26" s="59"/>
      <c r="J26" s="232"/>
      <c r="K26" s="235"/>
      <c r="N26" s="237" t="s">
        <v>64</v>
      </c>
      <c r="O26" s="238"/>
      <c r="P26" s="238"/>
      <c r="Q26" s="239"/>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2"/>
      <c r="K27" s="235"/>
      <c r="N27" s="237" t="s">
        <v>66</v>
      </c>
      <c r="O27" s="238"/>
      <c r="P27" s="238"/>
      <c r="Q27" s="239"/>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2"/>
      <c r="K28" s="235"/>
      <c r="O28" s="27"/>
      <c r="P28" s="27"/>
      <c r="Q28" s="27"/>
    </row>
    <row r="29" spans="2:36" ht="15.6" x14ac:dyDescent="0.3">
      <c r="B29" s="58"/>
      <c r="C29" s="58"/>
      <c r="D29" s="19"/>
      <c r="E29" s="19"/>
      <c r="F29" s="19"/>
      <c r="G29" s="59"/>
      <c r="J29" s="232"/>
      <c r="K29" s="235"/>
    </row>
    <row r="30" spans="2:36" x14ac:dyDescent="0.3">
      <c r="J30" s="232"/>
      <c r="K30" s="235"/>
    </row>
    <row r="31" spans="2:36" x14ac:dyDescent="0.3">
      <c r="J31" s="232"/>
      <c r="K31" s="235"/>
    </row>
    <row r="32" spans="2:36" x14ac:dyDescent="0.3">
      <c r="J32" s="232"/>
      <c r="K32" s="235"/>
    </row>
    <row r="33" spans="10:26" ht="15" thickBot="1" x14ac:dyDescent="0.35">
      <c r="J33" s="233"/>
      <c r="K33" s="236"/>
    </row>
    <row r="34" spans="10:26" x14ac:dyDescent="0.3">
      <c r="U34" s="87"/>
      <c r="V34" s="65">
        <v>10</v>
      </c>
      <c r="W34" s="65">
        <v>20</v>
      </c>
      <c r="X34" s="66">
        <v>30</v>
      </c>
      <c r="Y34"/>
      <c r="Z34"/>
    </row>
    <row r="35" spans="10:26" x14ac:dyDescent="0.3">
      <c r="U35" s="88" t="s">
        <v>68</v>
      </c>
      <c r="V35" s="83">
        <f>(1.28*10^(12))*EXP(-8183/(273+V34))/(1+((2.05*10^(-9))/(10^(-7.5)))+((10^(-7.5))/(1.66*10^(-7))))</f>
        <v>0.2823217413975958</v>
      </c>
      <c r="W35" s="83">
        <f t="shared" ref="W35:X35" si="28">(1.28*10^(12))*EXP(-8183/(273+W34))/(1+((2.05*10^(-9))/(10^(-7.5)))+((10^(-7.5))/(1.66*10^(-7))))</f>
        <v>0.75741706690483923</v>
      </c>
      <c r="X35" s="84">
        <f t="shared" si="28"/>
        <v>1.9038644750378029</v>
      </c>
      <c r="Y35"/>
      <c r="Z35"/>
    </row>
    <row r="36" spans="10:26" x14ac:dyDescent="0.3">
      <c r="U36" s="89" t="s">
        <v>69</v>
      </c>
      <c r="V36" s="85">
        <f>(6.69*10^(7))*EXP(-5295/(273+V34))/(1+((2.05*10^(-9))/(10^(-7.5)))+((10^(-7.5))/(1.66*10^(-7))))</f>
        <v>0.39894464591466677</v>
      </c>
      <c r="W36" s="85">
        <f t="shared" ref="W36:X36" si="29">(6.69*10^(7))*EXP(-5295/(273+W34))/(1+((2.05*10^(-9))/(10^(-7.5)))+((10^(-7.5))/(1.66*10^(-7))))</f>
        <v>0.75551351479496387</v>
      </c>
      <c r="X36" s="86">
        <f t="shared" si="29"/>
        <v>1.3717224615090331</v>
      </c>
      <c r="Y36"/>
      <c r="Z36"/>
    </row>
    <row r="37" spans="10:26" x14ac:dyDescent="0.3">
      <c r="U37" s="88" t="s">
        <v>70</v>
      </c>
      <c r="V37" s="83">
        <f>(1.651*10^(11))*EXP(-8183/(273+V34))</f>
        <v>4.5712789685116106E-2</v>
      </c>
      <c r="W37" s="83">
        <f t="shared" ref="W37:X37" si="30">(1.651*10^(11))*EXP(-8183/(273+W34))</f>
        <v>0.12263896826343848</v>
      </c>
      <c r="X37" s="84">
        <f t="shared" si="30"/>
        <v>0.30826870047461469</v>
      </c>
      <c r="Y37"/>
      <c r="Z37"/>
    </row>
    <row r="38" spans="10:26" ht="15" thickBot="1" x14ac:dyDescent="0.35">
      <c r="U38" s="90"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3" priority="18" operator="equal">
      <formula>0</formula>
    </cfRule>
  </conditionalFormatting>
  <conditionalFormatting sqref="S17:AD23">
    <cfRule type="cellIs" dxfId="82" priority="19" operator="notBetween">
      <formula>0.0000000001</formula>
      <formula>-0.0000000001</formula>
    </cfRule>
    <cfRule type="cellIs" dxfId="81" priority="20" operator="between">
      <formula>0.0000000001</formula>
      <formula>-0.0000000001</formula>
    </cfRule>
  </conditionalFormatting>
  <conditionalFormatting sqref="S8:AB8 AD8">
    <cfRule type="cellIs" dxfId="80" priority="13" operator="equal">
      <formula>0</formula>
    </cfRule>
  </conditionalFormatting>
  <conditionalFormatting sqref="AC5:AC7 AC9:AC16">
    <cfRule type="cellIs" dxfId="79" priority="12" operator="equal">
      <formula>0</formula>
    </cfRule>
  </conditionalFormatting>
  <conditionalFormatting sqref="AC8">
    <cfRule type="cellIs" dxfId="78" priority="11" operator="equal">
      <formula>0</formula>
    </cfRule>
  </conditionalFormatting>
  <conditionalFormatting sqref="AG8">
    <cfRule type="cellIs" dxfId="77" priority="5" operator="equal">
      <formula>0</formula>
    </cfRule>
  </conditionalFormatting>
  <conditionalFormatting sqref="AE5:AF7 AE9:AF16 AH9:AI16 AH5:AJ5 AH6:AI7 AJ6:AJ16 AH4">
    <cfRule type="cellIs" dxfId="76" priority="8" operator="equal">
      <formula>0</formula>
    </cfRule>
  </conditionalFormatting>
  <conditionalFormatting sqref="AE17:AJ23">
    <cfRule type="cellIs" dxfId="75" priority="9" operator="notBetween">
      <formula>0.0000000001</formula>
      <formula>-0.0000000001</formula>
    </cfRule>
    <cfRule type="cellIs" dxfId="74" priority="10" operator="between">
      <formula>0.0000000001</formula>
      <formula>-0.0000000001</formula>
    </cfRule>
  </conditionalFormatting>
  <conditionalFormatting sqref="AE8:AF8 AH8:AI8">
    <cfRule type="cellIs" dxfId="73" priority="7" operator="equal">
      <formula>0</formula>
    </cfRule>
  </conditionalFormatting>
  <conditionalFormatting sqref="AG5:AG7 AG9:AG16">
    <cfRule type="cellIs" dxfId="72" priority="6" operator="equal">
      <formula>0</formula>
    </cfRule>
  </conditionalFormatting>
  <conditionalFormatting sqref="AD4 S4:AB4">
    <cfRule type="cellIs" dxfId="71" priority="4" operator="equal">
      <formula>0</formula>
    </cfRule>
  </conditionalFormatting>
  <conditionalFormatting sqref="AC4">
    <cfRule type="cellIs" dxfId="70" priority="3" operator="equal">
      <formula>0</formula>
    </cfRule>
  </conditionalFormatting>
  <conditionalFormatting sqref="AE4:AF4 AI4">
    <cfRule type="cellIs" dxfId="69" priority="2" operator="equal">
      <formula>0</formula>
    </cfRule>
  </conditionalFormatting>
  <conditionalFormatting sqref="AG4">
    <cfRule type="cellIs" dxfId="68"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C13" sqref="C13"/>
    </sheetView>
  </sheetViews>
  <sheetFormatPr defaultRowHeight="13.2" x14ac:dyDescent="0.25"/>
  <cols>
    <col min="1" max="1" width="30" bestFit="1" customWidth="1"/>
    <col min="2" max="2" width="14.109375" customWidth="1"/>
    <col min="3" max="3" width="40.88671875" customWidth="1"/>
  </cols>
  <sheetData>
    <row r="1" spans="1:7" ht="14.4" x14ac:dyDescent="0.25">
      <c r="A1" s="82" t="str">
        <f>Discretization!A15</f>
        <v>Dynamic dT</v>
      </c>
      <c r="B1" s="106" t="b">
        <f>Discretization!B15</f>
        <v>1</v>
      </c>
      <c r="C1" s="252" t="s">
        <v>277</v>
      </c>
    </row>
    <row r="2" spans="1:7" ht="14.4" x14ac:dyDescent="0.25">
      <c r="A2" s="82" t="str">
        <f>Parameters!A2</f>
        <v>Variable HRT</v>
      </c>
      <c r="B2" s="106" t="b">
        <f>Parameters!B2</f>
        <v>1</v>
      </c>
      <c r="C2" s="252"/>
    </row>
    <row r="3" spans="1:7" ht="14.4" x14ac:dyDescent="0.25">
      <c r="A3" s="82" t="str">
        <f>Bacteria!A6</f>
        <v>Initialisation method</v>
      </c>
      <c r="B3" s="106" t="str">
        <f>Bacteria!B6</f>
        <v>granule</v>
      </c>
      <c r="C3" s="252"/>
    </row>
    <row r="4" spans="1:7" ht="14.4" x14ac:dyDescent="0.25">
      <c r="A4" s="82" t="str">
        <f>Bacteria!A10</f>
        <v>Inactivation enabled</v>
      </c>
      <c r="B4" s="106" t="b">
        <f>Bacteria!B10</f>
        <v>1</v>
      </c>
      <c r="C4" s="252"/>
    </row>
    <row r="5" spans="1:7" ht="14.4" x14ac:dyDescent="0.25">
      <c r="A5" s="82" t="str">
        <f>Bacteria!A11</f>
        <v>Detachment method</v>
      </c>
      <c r="B5" s="106" t="str">
        <f>Bacteria!B11</f>
        <v>mechanistic</v>
      </c>
      <c r="C5" s="252"/>
    </row>
    <row r="6" spans="1:7" ht="14.4" x14ac:dyDescent="0.25">
      <c r="A6" s="82" t="str">
        <f>Solver!A4</f>
        <v>pH bulk concentration corrected</v>
      </c>
      <c r="B6" s="106" t="b">
        <f>Solver!B4</f>
        <v>1</v>
      </c>
      <c r="C6" s="252"/>
    </row>
    <row r="7" spans="1:7" ht="14.4" x14ac:dyDescent="0.25">
      <c r="A7" s="82" t="str">
        <f>Solver!A2</f>
        <v>pH solving included</v>
      </c>
      <c r="B7" s="106" t="b">
        <f>Solver!B2</f>
        <v>1</v>
      </c>
      <c r="C7" s="252"/>
    </row>
    <row r="8" spans="1:7" ht="14.4" customHeight="1" x14ac:dyDescent="0.25">
      <c r="A8" s="82" t="str">
        <f>Solver!A5</f>
        <v>Speciation included</v>
      </c>
      <c r="B8" s="106" t="b">
        <f>Solver!B5</f>
        <v>1</v>
      </c>
      <c r="C8" s="252"/>
    </row>
    <row r="9" spans="1:7" ht="13.2" customHeight="1" x14ac:dyDescent="0.25">
      <c r="C9" s="257"/>
      <c r="G9" s="256"/>
    </row>
    <row r="10" spans="1:7" ht="13.2" customHeight="1" x14ac:dyDescent="0.25">
      <c r="C10" s="257"/>
      <c r="G10" s="256"/>
    </row>
    <row r="11" spans="1:7" ht="13.2" customHeight="1" x14ac:dyDescent="0.25">
      <c r="C11" s="257"/>
      <c r="G11" s="256"/>
    </row>
    <row r="12" spans="1:7" ht="13.2" customHeight="1" x14ac:dyDescent="0.25">
      <c r="C12" s="257"/>
      <c r="G12" s="256"/>
    </row>
    <row r="13" spans="1:7" ht="13.2" customHeight="1" x14ac:dyDescent="0.25">
      <c r="C13" s="257"/>
    </row>
    <row r="14" spans="1:7" ht="13.2" customHeight="1" x14ac:dyDescent="0.25">
      <c r="C14" s="257"/>
    </row>
    <row r="15" spans="1:7" ht="13.2" customHeight="1" x14ac:dyDescent="0.25">
      <c r="C15" s="257"/>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F21" sqref="F21"/>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82" t="s">
        <v>107</v>
      </c>
      <c r="B1" s="133">
        <v>257</v>
      </c>
      <c r="C1" s="95" t="s">
        <v>98</v>
      </c>
      <c r="D1" s="117" t="s">
        <v>136</v>
      </c>
      <c r="E1" s="240" t="s">
        <v>143</v>
      </c>
    </row>
    <row r="2" spans="1:5" ht="14.4" x14ac:dyDescent="0.3">
      <c r="A2" s="82" t="s">
        <v>108</v>
      </c>
      <c r="B2" s="145">
        <v>257</v>
      </c>
      <c r="C2" s="95" t="s">
        <v>98</v>
      </c>
      <c r="D2" s="117" t="s">
        <v>137</v>
      </c>
      <c r="E2" s="240"/>
    </row>
    <row r="3" spans="1:5" ht="14.4" x14ac:dyDescent="0.3">
      <c r="A3" s="82" t="s">
        <v>109</v>
      </c>
      <c r="B3" s="106">
        <f>B5*B1*1000000</f>
        <v>1028</v>
      </c>
      <c r="C3" s="95" t="s">
        <v>129</v>
      </c>
      <c r="D3" s="117" t="s">
        <v>130</v>
      </c>
      <c r="E3" s="240"/>
    </row>
    <row r="4" spans="1:5" ht="14.4" x14ac:dyDescent="0.3">
      <c r="A4" s="82" t="s">
        <v>110</v>
      </c>
      <c r="B4" s="106">
        <f>B6*B2*1000000</f>
        <v>1028</v>
      </c>
      <c r="C4" s="95" t="s">
        <v>129</v>
      </c>
      <c r="D4" s="117" t="s">
        <v>131</v>
      </c>
      <c r="E4" s="240"/>
    </row>
    <row r="5" spans="1:5" ht="14.4" x14ac:dyDescent="0.3">
      <c r="A5" s="82" t="s">
        <v>111</v>
      </c>
      <c r="B5" s="110">
        <v>3.9999999999999998E-6</v>
      </c>
      <c r="C5" s="95" t="s">
        <v>95</v>
      </c>
      <c r="D5" s="117" t="s">
        <v>132</v>
      </c>
      <c r="E5" s="240"/>
    </row>
    <row r="6" spans="1:5" ht="14.4" x14ac:dyDescent="0.3">
      <c r="A6" s="82" t="s">
        <v>112</v>
      </c>
      <c r="B6" s="110">
        <v>3.9999999999999998E-6</v>
      </c>
      <c r="C6" s="95" t="s">
        <v>95</v>
      </c>
      <c r="D6" s="117" t="s">
        <v>133</v>
      </c>
      <c r="E6" s="240"/>
    </row>
    <row r="7" spans="1:5" ht="14.4" x14ac:dyDescent="0.3">
      <c r="A7" s="82" t="s">
        <v>113</v>
      </c>
      <c r="B7" s="110">
        <v>3.9999999999999998E-6</v>
      </c>
      <c r="C7" s="95" t="s">
        <v>95</v>
      </c>
      <c r="D7" s="117" t="s">
        <v>134</v>
      </c>
      <c r="E7" s="240"/>
    </row>
    <row r="8" spans="1:5" ht="15" thickBot="1" x14ac:dyDescent="0.35">
      <c r="A8" s="94" t="s">
        <v>128</v>
      </c>
      <c r="B8" s="111">
        <f>5*10^(-6)</f>
        <v>4.9999999999999996E-6</v>
      </c>
      <c r="C8" s="97" t="s">
        <v>95</v>
      </c>
      <c r="D8" s="118" t="s">
        <v>135</v>
      </c>
      <c r="E8" s="241"/>
    </row>
    <row r="9" spans="1:5" ht="14.4" customHeight="1" x14ac:dyDescent="0.3">
      <c r="A9" s="81" t="s">
        <v>145</v>
      </c>
      <c r="B9" s="112">
        <v>5000</v>
      </c>
      <c r="C9" s="96" t="s">
        <v>104</v>
      </c>
      <c r="D9" s="119" t="s">
        <v>138</v>
      </c>
      <c r="E9" s="242" t="s">
        <v>144</v>
      </c>
    </row>
    <row r="10" spans="1:5" ht="14.4" customHeight="1" x14ac:dyDescent="0.3">
      <c r="A10" s="82" t="s">
        <v>148</v>
      </c>
      <c r="B10" s="109">
        <v>0.2</v>
      </c>
      <c r="C10" s="95" t="s">
        <v>98</v>
      </c>
      <c r="D10" s="117" t="s">
        <v>155</v>
      </c>
      <c r="E10" s="243"/>
    </row>
    <row r="11" spans="1:5" ht="14.4" x14ac:dyDescent="0.3">
      <c r="A11" s="82" t="s">
        <v>151</v>
      </c>
      <c r="B11" s="105">
        <f>$B$5^2 * B10 / MAX(Diffusion!$B:$B)</f>
        <v>6.0468631897203323E-7</v>
      </c>
      <c r="C11" s="95" t="s">
        <v>104</v>
      </c>
      <c r="D11" s="117" t="s">
        <v>157</v>
      </c>
      <c r="E11" s="243"/>
    </row>
    <row r="12" spans="1:5" ht="14.4" x14ac:dyDescent="0.3">
      <c r="A12" s="82" t="s">
        <v>160</v>
      </c>
      <c r="B12" s="109">
        <v>0.5</v>
      </c>
      <c r="C12" s="95" t="s">
        <v>104</v>
      </c>
      <c r="D12" s="117" t="s">
        <v>161</v>
      </c>
      <c r="E12" s="243"/>
    </row>
    <row r="13" spans="1:5" ht="14.4" x14ac:dyDescent="0.3">
      <c r="A13" s="82" t="s">
        <v>139</v>
      </c>
      <c r="B13" s="113">
        <v>24</v>
      </c>
      <c r="C13" s="95" t="s">
        <v>104</v>
      </c>
      <c r="D13" s="117" t="s">
        <v>141</v>
      </c>
      <c r="E13" s="243"/>
    </row>
    <row r="14" spans="1:5" ht="15" thickBot="1" x14ac:dyDescent="0.35">
      <c r="A14" s="94" t="s">
        <v>140</v>
      </c>
      <c r="B14" s="107">
        <f>24*7</f>
        <v>168</v>
      </c>
      <c r="C14" s="136" t="s">
        <v>104</v>
      </c>
      <c r="D14" s="118" t="s">
        <v>142</v>
      </c>
      <c r="E14" s="244"/>
    </row>
    <row r="15" spans="1:5" ht="14.4" x14ac:dyDescent="0.3">
      <c r="A15" s="114" t="s">
        <v>164</v>
      </c>
      <c r="B15" s="146" t="b">
        <v>1</v>
      </c>
      <c r="C15" s="137" t="s">
        <v>98</v>
      </c>
      <c r="D15" s="120" t="s">
        <v>165</v>
      </c>
      <c r="E15" s="242" t="s">
        <v>179</v>
      </c>
    </row>
    <row r="16" spans="1:5" ht="14.4" x14ac:dyDescent="0.3">
      <c r="A16" s="82" t="s">
        <v>146</v>
      </c>
      <c r="B16" s="109">
        <v>0.01</v>
      </c>
      <c r="C16" s="95" t="s">
        <v>98</v>
      </c>
      <c r="D16" s="121" t="s">
        <v>152</v>
      </c>
      <c r="E16" s="243"/>
    </row>
    <row r="17" spans="1:5" ht="14.4" x14ac:dyDescent="0.3">
      <c r="A17" s="82" t="s">
        <v>149</v>
      </c>
      <c r="B17" s="105">
        <f>$B$5^2 * B16 / MAX(Diffusion!$B:$B)</f>
        <v>3.0234315948601663E-8</v>
      </c>
      <c r="C17" s="95" t="s">
        <v>104</v>
      </c>
      <c r="D17" s="121" t="s">
        <v>153</v>
      </c>
      <c r="E17" s="243"/>
    </row>
    <row r="18" spans="1:5" ht="14.4" x14ac:dyDescent="0.3">
      <c r="A18" s="82" t="s">
        <v>147</v>
      </c>
      <c r="B18" s="109">
        <v>0.5</v>
      </c>
      <c r="C18" s="95" t="s">
        <v>98</v>
      </c>
      <c r="D18" s="121" t="s">
        <v>154</v>
      </c>
      <c r="E18" s="243"/>
    </row>
    <row r="19" spans="1:5" ht="14.4" x14ac:dyDescent="0.3">
      <c r="A19" s="82" t="s">
        <v>150</v>
      </c>
      <c r="B19" s="105">
        <f>$B$5^2 * B18 / MAX(Diffusion!$B:$B)</f>
        <v>1.511715797430083E-6</v>
      </c>
      <c r="C19" s="95" t="s">
        <v>104</v>
      </c>
      <c r="D19" s="121" t="s">
        <v>156</v>
      </c>
      <c r="E19" s="243"/>
    </row>
    <row r="20" spans="1:5" ht="14.4" x14ac:dyDescent="0.3">
      <c r="A20" s="82" t="s">
        <v>158</v>
      </c>
      <c r="B20" s="109">
        <v>0.05</v>
      </c>
      <c r="C20" s="95" t="s">
        <v>104</v>
      </c>
      <c r="D20" s="121" t="s">
        <v>162</v>
      </c>
      <c r="E20" s="243"/>
    </row>
    <row r="21" spans="1:5" ht="14.4" x14ac:dyDescent="0.3">
      <c r="A21" s="115" t="s">
        <v>159</v>
      </c>
      <c r="B21" s="116">
        <v>1</v>
      </c>
      <c r="C21" s="138" t="s">
        <v>104</v>
      </c>
      <c r="D21" s="122" t="s">
        <v>163</v>
      </c>
      <c r="E21" s="243"/>
    </row>
    <row r="22" spans="1:5" ht="28.8" x14ac:dyDescent="0.3">
      <c r="A22" s="82" t="s">
        <v>166</v>
      </c>
      <c r="B22" s="109">
        <v>3</v>
      </c>
      <c r="C22" s="139" t="s">
        <v>98</v>
      </c>
      <c r="D22" s="123" t="s">
        <v>172</v>
      </c>
      <c r="E22" s="243"/>
    </row>
    <row r="23" spans="1:5" ht="28.8" x14ac:dyDescent="0.3">
      <c r="A23" s="82" t="s">
        <v>169</v>
      </c>
      <c r="B23" s="109">
        <v>500</v>
      </c>
      <c r="C23" s="139" t="s">
        <v>98</v>
      </c>
      <c r="D23" s="123" t="s">
        <v>173</v>
      </c>
      <c r="E23" s="243"/>
    </row>
    <row r="24" spans="1:5" ht="28.8" x14ac:dyDescent="0.3">
      <c r="A24" s="82" t="s">
        <v>167</v>
      </c>
      <c r="B24" s="109">
        <v>200</v>
      </c>
      <c r="C24" s="139" t="s">
        <v>98</v>
      </c>
      <c r="D24" s="123" t="s">
        <v>174</v>
      </c>
      <c r="E24" s="243"/>
    </row>
    <row r="25" spans="1:5" ht="28.8" x14ac:dyDescent="0.3">
      <c r="A25" s="82" t="s">
        <v>168</v>
      </c>
      <c r="B25" s="109">
        <v>40</v>
      </c>
      <c r="C25" s="139" t="s">
        <v>98</v>
      </c>
      <c r="D25" s="123" t="s">
        <v>175</v>
      </c>
      <c r="E25" s="243"/>
    </row>
    <row r="26" spans="1:5" ht="28.8" x14ac:dyDescent="0.3">
      <c r="A26" s="82" t="s">
        <v>176</v>
      </c>
      <c r="B26" s="126">
        <v>0.2</v>
      </c>
      <c r="C26" s="139" t="s">
        <v>98</v>
      </c>
      <c r="D26" s="123" t="s">
        <v>180</v>
      </c>
      <c r="E26" s="243"/>
    </row>
    <row r="27" spans="1:5" ht="28.8" x14ac:dyDescent="0.3">
      <c r="A27" s="82" t="s">
        <v>170</v>
      </c>
      <c r="B27" s="125">
        <v>9.9999999999999995E-7</v>
      </c>
      <c r="C27" s="139" t="s">
        <v>98</v>
      </c>
      <c r="D27" s="123" t="s">
        <v>177</v>
      </c>
      <c r="E27" s="243"/>
    </row>
    <row r="28" spans="1:5" ht="29.4" thickBot="1" x14ac:dyDescent="0.35">
      <c r="A28" s="94" t="s">
        <v>171</v>
      </c>
      <c r="B28" s="127">
        <v>0.02</v>
      </c>
      <c r="C28" s="136" t="s">
        <v>98</v>
      </c>
      <c r="D28" s="124" t="s">
        <v>178</v>
      </c>
      <c r="E28" s="244"/>
    </row>
  </sheetData>
  <mergeCells count="3">
    <mergeCell ref="E1:E8"/>
    <mergeCell ref="E9:E14"/>
    <mergeCell ref="E15:E28"/>
  </mergeCells>
  <conditionalFormatting sqref="A16:D28">
    <cfRule type="expression" dxfId="67"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9" sqref="B9"/>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82" t="s">
        <v>103</v>
      </c>
      <c r="B1" s="133">
        <v>10.8</v>
      </c>
      <c r="C1" s="95" t="s">
        <v>104</v>
      </c>
      <c r="D1" s="117" t="s">
        <v>193</v>
      </c>
      <c r="E1" s="69"/>
    </row>
    <row r="2" spans="1:5" ht="28.8" x14ac:dyDescent="0.3">
      <c r="A2" s="82" t="s">
        <v>186</v>
      </c>
      <c r="B2" s="133" t="b">
        <v>1</v>
      </c>
      <c r="C2" s="95" t="s">
        <v>98</v>
      </c>
      <c r="D2" s="117" t="s">
        <v>188</v>
      </c>
      <c r="E2" s="69"/>
    </row>
    <row r="3" spans="1:5" ht="14.4" x14ac:dyDescent="0.3">
      <c r="A3" s="82" t="s">
        <v>189</v>
      </c>
      <c r="B3" s="132">
        <f>SUM(Influent!B1:B3)</f>
        <v>1.5E-3</v>
      </c>
      <c r="C3" s="95" t="s">
        <v>87</v>
      </c>
      <c r="D3" s="117" t="s">
        <v>187</v>
      </c>
      <c r="E3" s="69"/>
    </row>
    <row r="4" spans="1:5" ht="14.4" x14ac:dyDescent="0.3">
      <c r="A4" s="115" t="s">
        <v>190</v>
      </c>
      <c r="B4" s="134" t="s">
        <v>74</v>
      </c>
      <c r="C4" s="138" t="s">
        <v>98</v>
      </c>
      <c r="D4" s="135" t="s">
        <v>191</v>
      </c>
      <c r="E4" s="69"/>
    </row>
    <row r="5" spans="1:5" ht="14.4" x14ac:dyDescent="0.3">
      <c r="A5" s="82" t="s">
        <v>39</v>
      </c>
      <c r="B5" s="108">
        <v>20</v>
      </c>
      <c r="C5" s="95" t="s">
        <v>17</v>
      </c>
      <c r="D5" s="117" t="s">
        <v>192</v>
      </c>
      <c r="E5" s="69"/>
    </row>
    <row r="6" spans="1:5" ht="14.4" x14ac:dyDescent="0.3">
      <c r="A6" s="82" t="s">
        <v>256</v>
      </c>
      <c r="B6" s="166">
        <f>B5+273.15</f>
        <v>293.14999999999998</v>
      </c>
      <c r="C6" s="95" t="s">
        <v>41</v>
      </c>
      <c r="D6" s="117" t="s">
        <v>255</v>
      </c>
      <c r="E6" s="69"/>
    </row>
    <row r="7" spans="1:5" ht="14.4" x14ac:dyDescent="0.3">
      <c r="A7" s="82" t="s">
        <v>185</v>
      </c>
      <c r="B7" s="167">
        <v>7</v>
      </c>
      <c r="C7" s="95" t="s">
        <v>98</v>
      </c>
      <c r="D7" s="117" t="s">
        <v>194</v>
      </c>
      <c r="E7" s="69"/>
    </row>
    <row r="8" spans="1:5" ht="28.8" x14ac:dyDescent="0.3">
      <c r="A8" s="82" t="s">
        <v>184</v>
      </c>
      <c r="B8" s="140">
        <f>(((Bacteria!B8/3)*Bacteria!B1)/3)/1000</f>
        <v>2.3271056693257722E-10</v>
      </c>
      <c r="C8" s="95" t="s">
        <v>102</v>
      </c>
      <c r="D8" s="117" t="s">
        <v>195</v>
      </c>
      <c r="E8" s="69"/>
    </row>
    <row r="9" spans="1:5" ht="14.4" x14ac:dyDescent="0.3">
      <c r="A9" s="82" t="s">
        <v>182</v>
      </c>
      <c r="B9" s="104">
        <f>8.3144/1000</f>
        <v>8.3143999999999996E-3</v>
      </c>
      <c r="C9" s="95" t="s">
        <v>257</v>
      </c>
      <c r="D9" s="117" t="s">
        <v>182</v>
      </c>
      <c r="E9" s="69"/>
    </row>
    <row r="10" spans="1:5" ht="14.4" x14ac:dyDescent="0.3">
      <c r="A10" s="82"/>
      <c r="B10" s="108"/>
      <c r="C10" s="95"/>
      <c r="D10" s="117"/>
    </row>
    <row r="11" spans="1:5" ht="14.4" x14ac:dyDescent="0.3">
      <c r="A11" s="82"/>
      <c r="B11" s="108"/>
      <c r="C11" s="95"/>
      <c r="D11" s="117"/>
      <c r="E11" s="69"/>
    </row>
    <row r="12" spans="1:5" ht="14.4" x14ac:dyDescent="0.3">
      <c r="A12" s="82"/>
      <c r="B12" s="108"/>
      <c r="C12" s="95"/>
      <c r="D12" s="117"/>
      <c r="E12" s="69"/>
    </row>
    <row r="13" spans="1:5" ht="14.4" x14ac:dyDescent="0.3">
      <c r="A13" s="82"/>
      <c r="B13" s="108"/>
      <c r="C13" s="95"/>
      <c r="D13" s="117"/>
    </row>
    <row r="14" spans="1:5" ht="14.4" x14ac:dyDescent="0.3">
      <c r="A14" s="82"/>
      <c r="B14" s="108"/>
      <c r="C14" s="95"/>
      <c r="D14" s="117"/>
    </row>
    <row r="15" spans="1:5" ht="14.4" x14ac:dyDescent="0.3">
      <c r="A15" s="82"/>
      <c r="B15" s="108"/>
      <c r="C15" s="95"/>
      <c r="D15" s="117"/>
    </row>
    <row r="16" spans="1:5" ht="14.4" x14ac:dyDescent="0.3">
      <c r="A16" s="82"/>
      <c r="B16" s="108"/>
      <c r="C16" s="95"/>
      <c r="D16" s="117"/>
    </row>
    <row r="17" spans="1:5" ht="14.4" x14ac:dyDescent="0.3">
      <c r="A17" s="82"/>
      <c r="B17" s="108"/>
      <c r="C17" s="95"/>
      <c r="D17" s="117"/>
    </row>
    <row r="18" spans="1:5" x14ac:dyDescent="0.25">
      <c r="A18" s="69"/>
      <c r="B18" s="69"/>
      <c r="C18" s="69"/>
      <c r="D18" s="69"/>
      <c r="E18" s="100"/>
    </row>
    <row r="19" spans="1:5" x14ac:dyDescent="0.25">
      <c r="B19" s="76" t="s">
        <v>181</v>
      </c>
      <c r="C19" s="128"/>
      <c r="D19" s="79" t="s">
        <v>87</v>
      </c>
    </row>
    <row r="20" spans="1:5" x14ac:dyDescent="0.25">
      <c r="B20" s="77"/>
      <c r="C20" s="99"/>
      <c r="D20" s="78"/>
    </row>
    <row r="21" spans="1:5" x14ac:dyDescent="0.25">
      <c r="B21" s="77"/>
      <c r="C21" s="99"/>
      <c r="D21" s="78"/>
    </row>
    <row r="22" spans="1:5" x14ac:dyDescent="0.25">
      <c r="B22" s="77" t="s">
        <v>99</v>
      </c>
      <c r="C22" s="99">
        <v>8.2057459999999999E-2</v>
      </c>
      <c r="D22" s="78" t="s">
        <v>100</v>
      </c>
    </row>
    <row r="23" spans="1:5" x14ac:dyDescent="0.25">
      <c r="B23" s="77" t="s">
        <v>183</v>
      </c>
      <c r="C23" s="99">
        <v>1</v>
      </c>
      <c r="D23" s="78" t="s">
        <v>89</v>
      </c>
    </row>
    <row r="24" spans="1:5" x14ac:dyDescent="0.25">
      <c r="B24" s="77" t="s">
        <v>101</v>
      </c>
      <c r="C24" s="128">
        <f>C25</f>
        <v>2.3271056693257722E-10</v>
      </c>
      <c r="D24" s="78" t="s">
        <v>102</v>
      </c>
    </row>
    <row r="25" spans="1:5" x14ac:dyDescent="0.25">
      <c r="B25" s="77" t="s">
        <v>258</v>
      </c>
      <c r="C25" s="128">
        <f>(((Bacteria!B8/3)*Bacteria!B1)/3)/1000</f>
        <v>2.3271056693257722E-10</v>
      </c>
      <c r="D25" s="78" t="s">
        <v>102</v>
      </c>
    </row>
    <row r="26" spans="1:5" x14ac:dyDescent="0.25">
      <c r="B26" s="77"/>
      <c r="C26" s="129"/>
      <c r="D26" s="78"/>
    </row>
    <row r="27" spans="1:5" x14ac:dyDescent="0.25">
      <c r="A27" s="69"/>
      <c r="B27" s="77"/>
      <c r="C27" s="130"/>
      <c r="D27" s="78"/>
    </row>
    <row r="28" spans="1:5" x14ac:dyDescent="0.25">
      <c r="B28" s="77"/>
      <c r="C28" s="129"/>
      <c r="D28" s="78"/>
    </row>
    <row r="29" spans="1:5" x14ac:dyDescent="0.25">
      <c r="B29" s="103" t="s">
        <v>105</v>
      </c>
      <c r="C29" s="131">
        <f>(C25*1000)/0.01</f>
        <v>2.3271056693257722E-5</v>
      </c>
      <c r="D29" s="80" t="s">
        <v>106</v>
      </c>
    </row>
  </sheetData>
  <conditionalFormatting sqref="A3:D4">
    <cfRule type="expression" dxfId="66" priority="2">
      <formula>$B$2 = FALSE</formula>
    </cfRule>
  </conditionalFormatting>
  <dataValidations disablePrompts="1"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sqref="A1:D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82" t="s">
        <v>74</v>
      </c>
      <c r="B1" s="132">
        <f>1.957*10^(-9)*3600*0.7</f>
        <v>4.9316400000000006E-6</v>
      </c>
      <c r="C1" s="95" t="s">
        <v>114</v>
      </c>
      <c r="D1" s="117" t="s">
        <v>196</v>
      </c>
      <c r="E1" s="245" t="s">
        <v>197</v>
      </c>
    </row>
    <row r="2" spans="1:5" ht="14.4" x14ac:dyDescent="0.3">
      <c r="A2" s="82" t="s">
        <v>75</v>
      </c>
      <c r="B2" s="132">
        <f>1.912*10^(-9)*3600*0.7</f>
        <v>4.8182400000000001E-6</v>
      </c>
      <c r="C2" s="95" t="s">
        <v>114</v>
      </c>
      <c r="D2" s="117" t="s">
        <v>196</v>
      </c>
      <c r="E2" s="245"/>
    </row>
    <row r="3" spans="1:5" ht="14.4" x14ac:dyDescent="0.3">
      <c r="A3" s="82" t="s">
        <v>80</v>
      </c>
      <c r="B3" s="132">
        <f>1.902*10^(-9)*3600*0.7</f>
        <v>4.7930399999999991E-6</v>
      </c>
      <c r="C3" s="95" t="s">
        <v>114</v>
      </c>
      <c r="D3" s="117" t="s">
        <v>196</v>
      </c>
      <c r="E3" s="245"/>
    </row>
    <row r="4" spans="1:5" ht="14.4" x14ac:dyDescent="0.3">
      <c r="A4" s="82" t="s">
        <v>81</v>
      </c>
      <c r="B4" s="132">
        <f>2.1*10^(-9)*3600*0.7</f>
        <v>5.2920000000000003E-6</v>
      </c>
      <c r="C4" s="95" t="s">
        <v>114</v>
      </c>
      <c r="D4" s="117" t="s">
        <v>196</v>
      </c>
      <c r="E4" s="245"/>
    </row>
    <row r="5" spans="1:5" ht="14.4" x14ac:dyDescent="0.3">
      <c r="A5" s="82" t="s">
        <v>82</v>
      </c>
      <c r="B5" s="132">
        <f>1.92*10^(-9)*3600*0.7</f>
        <v>4.8384000000000001E-6</v>
      </c>
      <c r="C5" s="95" t="s">
        <v>114</v>
      </c>
      <c r="D5" s="117" t="s">
        <v>196</v>
      </c>
      <c r="E5" s="245"/>
    </row>
    <row r="6" spans="1:5" ht="14.4" x14ac:dyDescent="0.3">
      <c r="A6" s="82" t="s">
        <v>83</v>
      </c>
      <c r="B6" s="132">
        <f>1.385*10^(-9)*3600*0.7</f>
        <v>3.4902000000000001E-6</v>
      </c>
      <c r="C6" s="95" t="s">
        <v>114</v>
      </c>
      <c r="D6" s="117" t="s">
        <v>196</v>
      </c>
      <c r="E6" s="245"/>
    </row>
    <row r="7" spans="1:5" ht="15" thickBot="1" x14ac:dyDescent="0.35">
      <c r="A7" s="94" t="s">
        <v>84</v>
      </c>
      <c r="B7" s="141">
        <f>1.334*10^(-9)*3600*0.7</f>
        <v>3.3616800000000002E-6</v>
      </c>
      <c r="C7" s="97" t="s">
        <v>114</v>
      </c>
      <c r="D7" s="118" t="s">
        <v>196</v>
      </c>
      <c r="E7" s="246"/>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B10" sqref="B10"/>
    </sheetView>
  </sheetViews>
  <sheetFormatPr defaultColWidth="9.109375" defaultRowHeight="13.2" x14ac:dyDescent="0.25"/>
  <cols>
    <col min="1" max="1" width="25.332031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5" ht="14.4" x14ac:dyDescent="0.25">
      <c r="A1" s="82" t="s">
        <v>199</v>
      </c>
      <c r="B1" s="105">
        <f>((4/3)*PI()*B3^3)*B4</f>
        <v>2.0943951023931951E-12</v>
      </c>
      <c r="C1" s="95" t="s">
        <v>16</v>
      </c>
      <c r="D1" s="142" t="s">
        <v>207</v>
      </c>
    </row>
    <row r="2" spans="1:5" ht="14.4" x14ac:dyDescent="0.25">
      <c r="A2" s="82" t="s">
        <v>200</v>
      </c>
      <c r="B2" s="105">
        <f>0.1*B1</f>
        <v>2.0943951023931951E-13</v>
      </c>
      <c r="C2" s="95" t="s">
        <v>16</v>
      </c>
      <c r="D2" s="142" t="s">
        <v>208</v>
      </c>
    </row>
    <row r="3" spans="1:5" ht="14.4" x14ac:dyDescent="0.25">
      <c r="A3" s="82" t="s">
        <v>201</v>
      </c>
      <c r="B3" s="143">
        <f>(1)*10^(-6)</f>
        <v>9.9999999999999995E-7</v>
      </c>
      <c r="C3" s="95" t="s">
        <v>95</v>
      </c>
      <c r="D3" s="142" t="s">
        <v>209</v>
      </c>
    </row>
    <row r="4" spans="1:5" ht="14.4" x14ac:dyDescent="0.25">
      <c r="A4" s="82" t="s">
        <v>202</v>
      </c>
      <c r="B4" s="143">
        <f>500*1000</f>
        <v>500000</v>
      </c>
      <c r="C4" s="95" t="s">
        <v>96</v>
      </c>
      <c r="D4" s="142" t="s">
        <v>210</v>
      </c>
    </row>
    <row r="5" spans="1:5" ht="14.4" x14ac:dyDescent="0.25">
      <c r="A5" s="82" t="s">
        <v>203</v>
      </c>
      <c r="B5" s="150">
        <v>24.6</v>
      </c>
      <c r="C5" s="95" t="s">
        <v>97</v>
      </c>
      <c r="D5" s="142" t="s">
        <v>211</v>
      </c>
    </row>
    <row r="6" spans="1:5" ht="14.4" x14ac:dyDescent="0.25">
      <c r="A6" s="151" t="s">
        <v>233</v>
      </c>
      <c r="B6" s="155" t="s">
        <v>234</v>
      </c>
      <c r="C6" s="153"/>
      <c r="D6" s="154"/>
    </row>
    <row r="7" spans="1:5" ht="14.4" x14ac:dyDescent="0.25">
      <c r="A7" s="115" t="s">
        <v>205</v>
      </c>
      <c r="B7" s="148">
        <f>500*10^(-6)</f>
        <v>5.0000000000000001E-4</v>
      </c>
      <c r="C7" s="138" t="s">
        <v>95</v>
      </c>
      <c r="D7" s="149" t="s">
        <v>213</v>
      </c>
    </row>
    <row r="8" spans="1:5" ht="14.4" x14ac:dyDescent="0.25">
      <c r="A8" s="82" t="s">
        <v>206</v>
      </c>
      <c r="B8" s="143">
        <f>4*ROUND(((B13/2)^2)/((B3)^2),0)</f>
        <v>1000000</v>
      </c>
      <c r="C8" s="95" t="s">
        <v>98</v>
      </c>
      <c r="D8" s="142" t="s">
        <v>214</v>
      </c>
    </row>
    <row r="9" spans="1:5" ht="28.8" x14ac:dyDescent="0.25">
      <c r="A9" s="82" t="s">
        <v>124</v>
      </c>
      <c r="B9" s="144">
        <v>1</v>
      </c>
      <c r="C9" s="95" t="s">
        <v>98</v>
      </c>
      <c r="D9" s="142" t="s">
        <v>215</v>
      </c>
    </row>
    <row r="10" spans="1:5" ht="28.8" x14ac:dyDescent="0.25">
      <c r="A10" s="82" t="s">
        <v>216</v>
      </c>
      <c r="B10" s="150" t="b">
        <v>1</v>
      </c>
      <c r="C10" s="95" t="s">
        <v>98</v>
      </c>
      <c r="D10" s="142" t="s">
        <v>217</v>
      </c>
    </row>
    <row r="11" spans="1:5" ht="14.4" x14ac:dyDescent="0.25">
      <c r="A11" s="151" t="s">
        <v>218</v>
      </c>
      <c r="B11" s="152" t="s">
        <v>221</v>
      </c>
      <c r="C11" s="153" t="s">
        <v>98</v>
      </c>
      <c r="D11" s="154" t="s">
        <v>222</v>
      </c>
    </row>
    <row r="12" spans="1:5" ht="14.4" x14ac:dyDescent="0.25">
      <c r="A12" s="82" t="s">
        <v>219</v>
      </c>
      <c r="B12" s="144">
        <v>5</v>
      </c>
      <c r="C12" s="95" t="s">
        <v>220</v>
      </c>
      <c r="D12" s="142" t="s">
        <v>223</v>
      </c>
    </row>
    <row r="13" spans="1:5" ht="28.8" x14ac:dyDescent="0.25">
      <c r="A13" s="115" t="s">
        <v>204</v>
      </c>
      <c r="B13" s="148">
        <f>1000*10^(-6)</f>
        <v>1E-3</v>
      </c>
      <c r="C13" s="138" t="s">
        <v>95</v>
      </c>
      <c r="D13" s="149" t="s">
        <v>212</v>
      </c>
    </row>
    <row r="14" spans="1:5" x14ac:dyDescent="0.25">
      <c r="A14" s="69"/>
      <c r="B14" s="100"/>
      <c r="C14" s="69"/>
      <c r="D14" s="69"/>
    </row>
    <row r="16" spans="1:5" x14ac:dyDescent="0.25">
      <c r="C16" s="100"/>
      <c r="D16" s="69"/>
      <c r="E16" s="69"/>
    </row>
    <row r="17" spans="3:5" x14ac:dyDescent="0.25">
      <c r="C17" s="69"/>
      <c r="D17" s="100"/>
      <c r="E17" s="69"/>
    </row>
    <row r="18" spans="3:5" x14ac:dyDescent="0.25">
      <c r="C18" s="69"/>
      <c r="D18" s="69"/>
      <c r="E18" s="100"/>
    </row>
  </sheetData>
  <conditionalFormatting sqref="A12:D12">
    <cfRule type="expression" dxfId="65" priority="3">
      <formula>$B$11&lt;&gt;"mechanistic"</formula>
    </cfRule>
  </conditionalFormatting>
  <conditionalFormatting sqref="A13:D13">
    <cfRule type="expression" dxfId="64" priority="2">
      <formula>$B$11&lt;&gt;"naive"</formula>
    </cfRule>
  </conditionalFormatting>
  <conditionalFormatting sqref="A7:D7">
    <cfRule type="expression" dxfId="63" priority="1">
      <formula>$B$6 &lt;&gt; "granule"</formula>
    </cfRule>
  </conditionalFormatting>
  <dataValidations count="3">
    <dataValidation type="list" allowBlank="1" showInputMessage="1" showErrorMessage="1" sqref="B10" xr:uid="{4E7A34FD-A1C4-464E-AB3C-F3887798D8D2}">
      <formula1>"TRUE, FALSE"</formula1>
    </dataValidation>
    <dataValidation type="list" allowBlank="1" showInputMessage="1" showErrorMessage="1" sqref="B11"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19" sqref="C19"/>
    </sheetView>
  </sheetViews>
  <sheetFormatPr defaultColWidth="11.44140625" defaultRowHeight="13.2" x14ac:dyDescent="0.25"/>
  <cols>
    <col min="1" max="1" width="31.33203125" bestFit="1" customWidth="1"/>
    <col min="4" max="4" width="73.6640625" customWidth="1"/>
  </cols>
  <sheetData>
    <row r="1" spans="1:4" ht="14.4" x14ac:dyDescent="0.25">
      <c r="A1" s="82" t="s">
        <v>231</v>
      </c>
      <c r="B1" s="143">
        <v>9.9999999999999995E-7</v>
      </c>
      <c r="C1" s="95" t="s">
        <v>87</v>
      </c>
      <c r="D1" s="142" t="s">
        <v>232</v>
      </c>
    </row>
    <row r="2" spans="1:4" ht="14.4" x14ac:dyDescent="0.25">
      <c r="A2" s="82" t="s">
        <v>235</v>
      </c>
      <c r="B2" s="144" t="b">
        <v>1</v>
      </c>
      <c r="C2" s="95" t="s">
        <v>98</v>
      </c>
      <c r="D2" s="142" t="s">
        <v>237</v>
      </c>
    </row>
    <row r="3" spans="1:4" ht="14.4" x14ac:dyDescent="0.25">
      <c r="A3" s="82" t="s">
        <v>198</v>
      </c>
      <c r="B3" s="143">
        <v>1.0000000000000001E-15</v>
      </c>
      <c r="C3" s="95" t="s">
        <v>98</v>
      </c>
      <c r="D3" s="142" t="s">
        <v>236</v>
      </c>
    </row>
    <row r="4" spans="1:4" ht="14.4" x14ac:dyDescent="0.25">
      <c r="A4" s="82" t="s">
        <v>270</v>
      </c>
      <c r="B4" s="144" t="b">
        <v>1</v>
      </c>
      <c r="C4" s="95" t="s">
        <v>98</v>
      </c>
      <c r="D4" s="142" t="s">
        <v>271</v>
      </c>
    </row>
    <row r="5" spans="1:4" ht="28.8" x14ac:dyDescent="0.25">
      <c r="A5" s="82" t="s">
        <v>238</v>
      </c>
      <c r="B5" s="144" t="b">
        <v>1</v>
      </c>
      <c r="C5" s="95" t="s">
        <v>98</v>
      </c>
      <c r="D5" s="142" t="s">
        <v>276</v>
      </c>
    </row>
    <row r="6" spans="1:4" ht="28.8" x14ac:dyDescent="0.25">
      <c r="A6" s="82" t="s">
        <v>239</v>
      </c>
      <c r="B6" s="143">
        <v>1E-8</v>
      </c>
      <c r="C6" s="95" t="s">
        <v>98</v>
      </c>
      <c r="D6" s="142" t="s">
        <v>240</v>
      </c>
    </row>
    <row r="7" spans="1:4" ht="28.8" x14ac:dyDescent="0.25">
      <c r="A7" s="82" t="s">
        <v>224</v>
      </c>
      <c r="B7" s="147">
        <v>5.0000000000000001E-3</v>
      </c>
      <c r="C7" s="95" t="s">
        <v>115</v>
      </c>
      <c r="D7" s="142" t="s">
        <v>230</v>
      </c>
    </row>
    <row r="8" spans="1:4" ht="14.4" x14ac:dyDescent="0.25">
      <c r="A8" s="82" t="s">
        <v>225</v>
      </c>
      <c r="B8" s="144" t="s">
        <v>226</v>
      </c>
      <c r="C8" s="95" t="s">
        <v>98</v>
      </c>
      <c r="D8" s="142" t="s">
        <v>229</v>
      </c>
    </row>
    <row r="9" spans="1:4" ht="14.4" x14ac:dyDescent="0.25">
      <c r="A9" s="82" t="s">
        <v>227</v>
      </c>
      <c r="B9" s="144">
        <v>2</v>
      </c>
      <c r="C9" s="95" t="s">
        <v>98</v>
      </c>
      <c r="D9" s="142" t="s">
        <v>228</v>
      </c>
    </row>
    <row r="10" spans="1:4" ht="28.8" x14ac:dyDescent="0.25">
      <c r="A10" s="82" t="s">
        <v>241</v>
      </c>
      <c r="B10" s="144" t="b">
        <v>0</v>
      </c>
      <c r="C10" s="139" t="s">
        <v>98</v>
      </c>
      <c r="D10" s="156" t="s">
        <v>242</v>
      </c>
    </row>
    <row r="11" spans="1:4" ht="14.4" x14ac:dyDescent="0.25">
      <c r="A11" s="82" t="s">
        <v>273</v>
      </c>
      <c r="B11" s="144" t="b">
        <v>1</v>
      </c>
      <c r="C11" s="139" t="s">
        <v>98</v>
      </c>
      <c r="D11" s="156" t="s">
        <v>274</v>
      </c>
    </row>
    <row r="12" spans="1:4" ht="28.8" x14ac:dyDescent="0.25">
      <c r="A12" s="82" t="s">
        <v>272</v>
      </c>
      <c r="B12" s="144" t="s">
        <v>119</v>
      </c>
      <c r="C12" s="139" t="s">
        <v>98</v>
      </c>
      <c r="D12" s="156" t="s">
        <v>275</v>
      </c>
    </row>
  </sheetData>
  <conditionalFormatting sqref="A3:D4">
    <cfRule type="expression" dxfId="62" priority="2">
      <formula>$B$2=FALSE</formula>
    </cfRule>
  </conditionalFormatting>
  <conditionalFormatting sqref="A12:D12">
    <cfRule type="expression" dxfId="61" priority="1">
      <formula>$B$11=FALSE</formula>
    </cfRule>
  </conditionalFormatting>
  <dataValidations count="4">
    <dataValidation type="list" allowBlank="1" showInputMessage="1" showErrorMessage="1" sqref="B8" xr:uid="{A49C7C3F-F289-4E9E-93BF-BE4D6D78B296}">
      <formula1>"max, mean, norm"</formula1>
    </dataValidation>
    <dataValidation type="list" allowBlank="1" showInputMessage="1" showErrorMessage="1" sqref="B2 B10 B4 B5" xr:uid="{84E938EB-3DC7-476B-8ED7-970048E4677C}">
      <formula1>"TRUE, FALSE"</formula1>
    </dataValidation>
    <dataValidation type="list" allowBlank="1" showInputMessage="1" showErrorMessage="1" sqref="B11" xr:uid="{E03D1A38-E4CD-4F8A-8EC3-3AE9680BF385}">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3" sqref="E13"/>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82" t="s">
        <v>74</v>
      </c>
      <c r="B1" s="143">
        <v>5.0000000000000001E-4</v>
      </c>
      <c r="C1" s="95" t="s">
        <v>87</v>
      </c>
      <c r="D1" s="157" t="s">
        <v>20</v>
      </c>
      <c r="E1" s="247" t="s">
        <v>244</v>
      </c>
      <c r="F1" s="69"/>
      <c r="G1" s="69"/>
      <c r="H1" s="69"/>
      <c r="I1" s="69"/>
      <c r="J1" s="69"/>
    </row>
    <row r="2" spans="1:10" x14ac:dyDescent="0.25">
      <c r="A2" s="82" t="s">
        <v>75</v>
      </c>
      <c r="B2" s="143">
        <v>5.0000000000000001E-4</v>
      </c>
      <c r="C2" s="95" t="s">
        <v>87</v>
      </c>
      <c r="D2" s="157" t="s">
        <v>20</v>
      </c>
      <c r="E2" s="247"/>
      <c r="F2" s="69"/>
      <c r="G2" s="69"/>
      <c r="H2" s="69"/>
      <c r="I2" s="69"/>
      <c r="J2" s="69"/>
    </row>
    <row r="3" spans="1:10" x14ac:dyDescent="0.25">
      <c r="A3" s="82" t="s">
        <v>80</v>
      </c>
      <c r="B3" s="143">
        <v>5.0000000000000001E-4</v>
      </c>
      <c r="C3" s="95" t="s">
        <v>87</v>
      </c>
      <c r="D3" s="157" t="s">
        <v>20</v>
      </c>
      <c r="E3" s="247"/>
      <c r="F3" s="69"/>
      <c r="G3" s="69"/>
      <c r="H3" s="69"/>
      <c r="I3" s="69"/>
      <c r="J3" s="69"/>
    </row>
    <row r="4" spans="1:10" x14ac:dyDescent="0.25">
      <c r="A4" s="82" t="s">
        <v>81</v>
      </c>
      <c r="B4" s="143">
        <v>1.9999999999999999E-6</v>
      </c>
      <c r="C4" s="95" t="s">
        <v>87</v>
      </c>
      <c r="D4" s="157" t="s">
        <v>91</v>
      </c>
      <c r="E4" s="247"/>
      <c r="F4" s="69"/>
      <c r="G4" s="69"/>
      <c r="H4" s="69"/>
      <c r="I4" s="69"/>
      <c r="J4" s="69"/>
    </row>
    <row r="5" spans="1:10" x14ac:dyDescent="0.25">
      <c r="A5" s="82" t="s">
        <v>82</v>
      </c>
      <c r="B5" s="143">
        <v>1E-3</v>
      </c>
      <c r="C5" s="95" t="s">
        <v>87</v>
      </c>
      <c r="D5" s="157" t="s">
        <v>91</v>
      </c>
      <c r="E5" s="247"/>
      <c r="F5" s="100"/>
      <c r="G5" s="69"/>
      <c r="H5" s="69"/>
      <c r="I5" s="69"/>
      <c r="J5" s="69"/>
    </row>
    <row r="6" spans="1:10" x14ac:dyDescent="0.25">
      <c r="A6" s="82" t="s">
        <v>83</v>
      </c>
      <c r="B6" s="143">
        <f>B1/2</f>
        <v>2.5000000000000001E-4</v>
      </c>
      <c r="C6" s="95" t="s">
        <v>87</v>
      </c>
      <c r="D6" s="157" t="s">
        <v>91</v>
      </c>
      <c r="E6" s="247"/>
      <c r="F6" s="100"/>
      <c r="G6" s="69"/>
      <c r="H6" s="69"/>
      <c r="I6" s="69"/>
      <c r="J6" s="69"/>
    </row>
    <row r="7" spans="1:10" x14ac:dyDescent="0.25">
      <c r="A7" s="82" t="s">
        <v>84</v>
      </c>
      <c r="B7" s="143">
        <f>B5</f>
        <v>1E-3</v>
      </c>
      <c r="C7" s="95" t="s">
        <v>87</v>
      </c>
      <c r="D7" s="157" t="s">
        <v>91</v>
      </c>
      <c r="E7" s="247"/>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2021-12-02T10:35:10Z</dcterms:modified>
  <cp:category/>
  <cp:contentStatus/>
</cp:coreProperties>
</file>