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24069M\Documents\GitHub\IbM\planning\Excels\Templates\"/>
    </mc:Choice>
  </mc:AlternateContent>
  <xr:revisionPtr revIDLastSave="0" documentId="13_ncr:1_{3B8A8FD5-9F52-42C4-A72A-F2803581B721}" xr6:coauthVersionLast="47" xr6:coauthVersionMax="47" xr10:uidLastSave="{00000000-0000-0000-0000-000000000000}"/>
  <bookViews>
    <workbookView xWindow="28680" yWindow="-120" windowWidth="29040" windowHeight="15840" activeTab="11" xr2:uid="{00000000-000D-0000-FFFF-FFFF00000000}"/>
  </bookViews>
  <sheets>
    <sheet name="Information" sheetId="30" r:id="rId1"/>
    <sheet name="Reactions" sheetId="18" state="hidden" r:id="rId2"/>
    <sheet name="Settings" sheetId="34" r:id="rId3"/>
    <sheet name="Ks" sheetId="31" r:id="rId4"/>
    <sheet name="Ki" sheetId="32" r:id="rId5"/>
    <sheet name="Yield" sheetId="33" r:id="rId6"/>
    <sheet name="Parameters" sheetId="26" r:id="rId7"/>
    <sheet name="ReactionMatrix" sheetId="21" r:id="rId8"/>
    <sheet name="States" sheetId="22" r:id="rId9"/>
    <sheet name="Influent" sheetId="23" r:id="rId10"/>
    <sheet name="ThermoParam" sheetId="24" r:id="rId11"/>
    <sheet name="Bacteria" sheetId="25" r:id="rId12"/>
    <sheet name="Discretization" sheetId="27" r:id="rId13"/>
    <sheet name="Diffusion" sheetId="28" r:id="rId14"/>
    <sheet name="Tolerances" sheetId="2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3" l="1"/>
  <c r="B2" i="33"/>
  <c r="D5" i="32"/>
  <c r="B4" i="32"/>
  <c r="B3" i="32"/>
  <c r="C2" i="32"/>
  <c r="C5" i="31"/>
  <c r="B5" i="31"/>
  <c r="D4" i="31"/>
  <c r="C4" i="31"/>
  <c r="D3" i="31"/>
  <c r="C3" i="31"/>
  <c r="D2" i="31"/>
  <c r="B2" i="31"/>
  <c r="B14" i="27"/>
  <c r="B4" i="23"/>
  <c r="B1" i="26"/>
  <c r="B7" i="28"/>
  <c r="B6" i="28"/>
  <c r="B5" i="28"/>
  <c r="B4" i="28"/>
  <c r="B3" i="28"/>
  <c r="B2" i="28"/>
  <c r="B1" i="28"/>
  <c r="B1" i="23" l="1"/>
  <c r="B8" i="27"/>
  <c r="B7" i="27"/>
  <c r="B6" i="27"/>
  <c r="B4" i="27" s="1"/>
  <c r="B5" i="27"/>
  <c r="B3" i="27" s="1"/>
  <c r="B7" i="25"/>
  <c r="B6" i="25"/>
  <c r="B8" i="25" s="1"/>
  <c r="B4" i="25"/>
  <c r="B3" i="25"/>
  <c r="B1" i="25" s="1"/>
  <c r="B2" i="25" s="1"/>
  <c r="B11" i="25" l="1"/>
  <c r="B10" i="25"/>
  <c r="AG17" i="18" l="1"/>
  <c r="AF23" i="18"/>
  <c r="AF22" i="18"/>
  <c r="AF21" i="18"/>
  <c r="AF20" i="18"/>
  <c r="AF19" i="18"/>
  <c r="AF18" i="18"/>
  <c r="AF17" i="18"/>
  <c r="AD6" i="18"/>
  <c r="AH4" i="18"/>
  <c r="S17" i="18"/>
  <c r="B7" i="23" l="1"/>
  <c r="B2" i="26" l="1"/>
  <c r="B6" i="22" l="1"/>
  <c r="B6" i="23"/>
  <c r="B7" i="26" l="1"/>
  <c r="B11" i="26" s="1"/>
  <c r="B3" i="26" l="1"/>
  <c r="AI13" i="18" l="1"/>
  <c r="V5" i="18" l="1"/>
  <c r="X38" i="18" l="1"/>
  <c r="W38" i="18"/>
  <c r="V38" i="18"/>
  <c r="X37" i="18"/>
  <c r="W37" i="18"/>
  <c r="V37" i="18"/>
  <c r="X36" i="18"/>
  <c r="W36" i="18"/>
  <c r="V36" i="18"/>
  <c r="X35" i="18"/>
  <c r="W35" i="18"/>
  <c r="V35" i="18"/>
  <c r="B6" i="26" l="1"/>
  <c r="AH6" i="18" l="1"/>
  <c r="AH7" i="18"/>
  <c r="AH8" i="18"/>
  <c r="AI8" i="18" s="1"/>
  <c r="AH9" i="18"/>
  <c r="AH10" i="18"/>
  <c r="AH11" i="18"/>
  <c r="AI11" i="18" s="1"/>
  <c r="AH12" i="18"/>
  <c r="AI12" i="18" s="1"/>
  <c r="AH13" i="18"/>
  <c r="AH14" i="18"/>
  <c r="AH15" i="18"/>
  <c r="AH16" i="18"/>
  <c r="AH5" i="18"/>
  <c r="AG26" i="18"/>
  <c r="AG27" i="18" s="1"/>
  <c r="AF26" i="18"/>
  <c r="AF27" i="18" s="1"/>
  <c r="AG23" i="18"/>
  <c r="AG22" i="18"/>
  <c r="AG21" i="18"/>
  <c r="AG20" i="18"/>
  <c r="AG19" i="18"/>
  <c r="AG18" i="18"/>
  <c r="AI23" i="18" l="1"/>
  <c r="AI22" i="18"/>
  <c r="AI21" i="18"/>
  <c r="AI20" i="18"/>
  <c r="AI19" i="18"/>
  <c r="AI18" i="18"/>
  <c r="AI17" i="18"/>
  <c r="AH21" i="18"/>
  <c r="AH20" i="18"/>
  <c r="AH22" i="18"/>
  <c r="AH19" i="18"/>
  <c r="AH18" i="18"/>
  <c r="AH17" i="18"/>
  <c r="AH23" i="18"/>
  <c r="AH26" i="18"/>
  <c r="AH27" i="18" s="1"/>
  <c r="D8" i="18" s="1"/>
  <c r="E17" i="18" l="1"/>
  <c r="E18" i="18"/>
  <c r="E19" i="18"/>
  <c r="AA8" i="18" l="1"/>
  <c r="Z8" i="18"/>
  <c r="V8" i="18"/>
  <c r="V9" i="18"/>
  <c r="Z9" i="18"/>
  <c r="AA9" i="18"/>
  <c r="AE9" i="18" s="1"/>
  <c r="AD9" i="18"/>
  <c r="AA5" i="18"/>
  <c r="AA6" i="18"/>
  <c r="AE6" i="18" s="1"/>
  <c r="AA7" i="18"/>
  <c r="AA13" i="18"/>
  <c r="AA15" i="18"/>
  <c r="AE15" i="18" s="1"/>
  <c r="AA16" i="18"/>
  <c r="AE16" i="18" s="1"/>
  <c r="Z5" i="18"/>
  <c r="Z6" i="18"/>
  <c r="Z7" i="18"/>
  <c r="Z13" i="18"/>
  <c r="Z14" i="18"/>
  <c r="Z15" i="18"/>
  <c r="AB26" i="18"/>
  <c r="AB27" i="18" s="1"/>
  <c r="Y26" i="18"/>
  <c r="Y27" i="18" s="1"/>
  <c r="W26" i="18"/>
  <c r="W27" i="18" s="1"/>
  <c r="C6" i="18" s="1"/>
  <c r="C18" i="18" s="1"/>
  <c r="C19" i="18" s="1"/>
  <c r="U26" i="18"/>
  <c r="U27" i="18" s="1"/>
  <c r="T26" i="18"/>
  <c r="T27" i="18" s="1"/>
  <c r="S26" i="18"/>
  <c r="S27" i="18" s="1"/>
  <c r="C5" i="18" s="1"/>
  <c r="AB23" i="18"/>
  <c r="Y23" i="18"/>
  <c r="X23" i="18"/>
  <c r="W23" i="18"/>
  <c r="U23" i="18"/>
  <c r="T23" i="18"/>
  <c r="S23" i="18"/>
  <c r="AB22" i="18"/>
  <c r="Y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X19" i="18"/>
  <c r="W19" i="18"/>
  <c r="U19" i="18"/>
  <c r="T19" i="18"/>
  <c r="S19" i="18"/>
  <c r="AB18" i="18"/>
  <c r="Y18" i="18"/>
  <c r="W18" i="18"/>
  <c r="U18" i="18"/>
  <c r="T18" i="18"/>
  <c r="S18" i="18"/>
  <c r="AB17" i="18"/>
  <c r="Y17" i="18"/>
  <c r="W17" i="18"/>
  <c r="U17" i="18"/>
  <c r="T17" i="18"/>
  <c r="Z16" i="18"/>
  <c r="V16" i="18"/>
  <c r="V15" i="18"/>
  <c r="V14" i="18"/>
  <c r="V13" i="18"/>
  <c r="V7" i="18"/>
  <c r="V6" i="18"/>
  <c r="AD16" i="18"/>
  <c r="X20" i="18"/>
  <c r="X17" i="18"/>
  <c r="X21" i="18"/>
  <c r="X26" i="18"/>
  <c r="X27" i="18" s="1"/>
  <c r="X18" i="18"/>
  <c r="X22" i="18"/>
  <c r="AE18" i="18" l="1"/>
  <c r="AE17" i="18"/>
  <c r="AE23" i="18"/>
  <c r="AE22" i="18"/>
  <c r="AE21" i="18"/>
  <c r="AE20" i="18"/>
  <c r="AE19" i="18"/>
  <c r="AA17" i="18"/>
  <c r="AA20" i="18"/>
  <c r="AA19" i="18"/>
  <c r="AA22" i="18"/>
  <c r="AE26" i="18"/>
  <c r="AE27" i="18" s="1"/>
  <c r="C8" i="18" s="1"/>
  <c r="AA23" i="18"/>
  <c r="AA18" i="18"/>
  <c r="AA26" i="18"/>
  <c r="AA27" i="18" s="1"/>
  <c r="C7" i="18" s="1"/>
  <c r="AA21" i="18"/>
  <c r="AD5" i="18"/>
  <c r="AC22" i="18"/>
  <c r="AC18" i="18"/>
  <c r="V26" i="18"/>
  <c r="V27" i="18" s="1"/>
  <c r="D5" i="18" s="1"/>
  <c r="AC26" i="18"/>
  <c r="AC27" i="18" s="1"/>
  <c r="V23" i="18"/>
  <c r="V19" i="18"/>
  <c r="AC20" i="18"/>
  <c r="AD14" i="18"/>
  <c r="AD7" i="18"/>
  <c r="AD15" i="18"/>
  <c r="AD8" i="18"/>
  <c r="V21" i="18"/>
  <c r="V22" i="18"/>
  <c r="V20" i="18"/>
  <c r="V17" i="18"/>
  <c r="V18" i="18"/>
  <c r="AC17" i="18"/>
  <c r="AD13" i="18"/>
  <c r="AC19" i="18"/>
  <c r="AC21" i="18"/>
  <c r="AC23" i="18"/>
  <c r="Z17" i="18"/>
  <c r="Z19" i="18"/>
  <c r="Z26" i="18"/>
  <c r="Z27" i="18" s="1"/>
  <c r="D6" i="18" s="1"/>
  <c r="Z21" i="18"/>
  <c r="Z23" i="18"/>
  <c r="Z22" i="18"/>
  <c r="Z18" i="18"/>
  <c r="Z20" i="18"/>
  <c r="F8" i="18" l="1"/>
  <c r="G8" i="18" s="1"/>
  <c r="F5" i="18"/>
  <c r="G5" i="18" s="1"/>
  <c r="D17" i="18"/>
  <c r="F17" i="18" s="1"/>
  <c r="G17" i="18" s="1"/>
  <c r="F6" i="18"/>
  <c r="G6" i="18" s="1"/>
  <c r="D18" i="18"/>
  <c r="F18" i="18" s="1"/>
  <c r="G18" i="18" s="1"/>
  <c r="AD22" i="18"/>
  <c r="AD26" i="18"/>
  <c r="AD27" i="18" s="1"/>
  <c r="D7" i="18" s="1"/>
  <c r="AD20" i="18"/>
  <c r="AD23" i="18"/>
  <c r="AD19" i="18"/>
  <c r="AD18" i="18"/>
  <c r="AD21" i="18"/>
  <c r="AD17" i="18"/>
  <c r="D19" i="18" l="1"/>
  <c r="F19" i="18" s="1"/>
  <c r="G19" i="18" s="1"/>
  <c r="F7" i="18"/>
  <c r="G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tc={DACAAB04-91D6-46CD-8CAD-86D83E03E1FB}</author>
  </authors>
  <commentList>
    <comment ref="A2" authorId="0" shapeId="0" xr:uid="{DACAAB04-91D6-46CD-8CAD-86D83E03E1F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structure_model = true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tc={EB05906B-4FDF-4F3A-9F16-304D214E21DA}</author>
  </authors>
  <commentList>
    <comment ref="A5" authorId="0" shapeId="0" xr:uid="{EB05906B-4FDF-4F3A-9F16-304D214E21D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tc={C974814D-D8B6-4CD6-991A-CBBB4DFDBC98}</author>
    <author>tc={05F726E0-C7F1-49D9-8ED7-24AEB4001195}</author>
    <author>tc={D064E097-E78F-4D47-A591-B49A470F82C3}</author>
    <author>tc={9E173475-A3E1-4592-9E26-3ED281F08895}</author>
  </authors>
  <commentList>
    <comment ref="C2" authorId="0" shapeId="0" xr:uid="{C974814D-D8B6-4CD6-991A-CBBB4DFDBC98}">
      <text>
        <t>[Threaded comment]
Your version of Excel allows you to read this threaded comment; however, any edits to it will get removed if the file is opened in a newer version of Excel. Learn more: https://go.microsoft.com/fwlink/?linkid=870924
Comment:
    FNA (HNO2) [Jubany2008]</t>
      </text>
    </comment>
    <comment ref="B3" authorId="1" shapeId="0" xr:uid="{05F726E0-C7F1-49D9-8ED7-24AEB4001195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B4" authorId="2" shapeId="0" xr:uid="{D064E097-E78F-4D47-A591-B49A470F82C3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A5" authorId="3" shapeId="0" xr:uid="{9E173475-A3E1-4592-9E26-3ED281F088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tc={2DA3CA1D-DB8B-4C21-B522-1CFF8184545D}</author>
    <author>tc={90B047D6-DCE4-4B7D-9AD1-0DB615C5A21D}</author>
    <author>tc={FAFA8C7C-6800-4018-947D-B9F524B630BA}</author>
  </authors>
  <commentList>
    <comment ref="B1" authorId="0" shapeId="0" xr:uid="{2DA3CA1D-DB8B-4C21-B522-1CFF8184545D}">
      <text>
        <t>[Threaded comment]
Your version of Excel allows you to read this threaded comment; however, any edits to it will get removed if the file is opened in a newer version of Excel. Learn more: https://go.microsoft.com/fwlink/?linkid=870924
Comment:
    AOB and NOB: calculated [Rebeca]</t>
      </text>
    </comment>
    <comment ref="A5" authorId="1" shapeId="0" xr:uid="{90B047D6-DCE4-4B7D-9AD1-0DB615C5A21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  <comment ref="B5" authorId="2" shapeId="0" xr:uid="{FAFA8C7C-6800-4018-947D-B9F524B630B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[Strous1998]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tc={F9E69303-9E09-4AB4-B248-45D2ABEF281C}</author>
  </authors>
  <commentList>
    <comment ref="A9" authorId="0" shapeId="0" xr:uid="{F9E69303-9E09-4AB4-B248-45D2ABEF281C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HRT (fix [S]sp)</t>
      </text>
    </comment>
  </commentList>
</comments>
</file>

<file path=xl/sharedStrings.xml><?xml version="1.0" encoding="utf-8"?>
<sst xmlns="http://schemas.openxmlformats.org/spreadsheetml/2006/main" count="464" uniqueCount="178">
  <si>
    <t>AOB/AOA</t>
  </si>
  <si>
    <t>NOBs</t>
  </si>
  <si>
    <t>Comamox</t>
  </si>
  <si>
    <t>Anammox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</si>
  <si>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</si>
  <si>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</si>
  <si>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</si>
  <si>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</si>
  <si>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</si>
  <si>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</si>
  <si>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</si>
  <si>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</si>
  <si>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</si>
  <si>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Yield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</si>
  <si>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</si>
  <si>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</si>
  <si>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g</t>
  </si>
  <si>
    <t>C</t>
  </si>
  <si>
    <t>H</t>
  </si>
  <si>
    <t>O</t>
  </si>
  <si>
    <t>N</t>
  </si>
  <si>
    <t>P</t>
  </si>
  <si>
    <t>S</t>
  </si>
  <si>
    <t>Charge</t>
  </si>
  <si>
    <t>Catabolism</t>
  </si>
  <si>
    <t>Anabolism*</t>
  </si>
  <si>
    <t>Anabolism eD</t>
  </si>
  <si>
    <t>Anabolism</t>
  </si>
  <si>
    <t>DECAY</t>
  </si>
  <si>
    <t>Faraday</t>
  </si>
  <si>
    <t>F</t>
  </si>
  <si>
    <t>kC/mole</t>
  </si>
  <si>
    <r>
      <t>NH</t>
    </r>
    <r>
      <rPr>
        <vertAlign val="subscript"/>
        <sz val="12"/>
        <rFont val="Arial"/>
        <family val="2"/>
      </rPr>
      <t>4</t>
    </r>
    <r>
      <rPr>
        <vertAlign val="superscript"/>
        <sz val="12"/>
        <rFont val="Arial"/>
        <family val="2"/>
      </rPr>
      <t>+</t>
    </r>
  </si>
  <si>
    <t>AOBs/AOAs</t>
  </si>
  <si>
    <r>
      <t>NH</t>
    </r>
    <r>
      <rPr>
        <vertAlign val="subscript"/>
        <sz val="12"/>
        <rFont val="Arial"/>
        <family val="2"/>
      </rPr>
      <t>3</t>
    </r>
  </si>
  <si>
    <t>Gases Cte.</t>
  </si>
  <si>
    <t>R</t>
  </si>
  <si>
    <t>kJ/molK</t>
  </si>
  <si>
    <r>
      <t>NO</t>
    </r>
    <r>
      <rPr>
        <vertAlign val="subscript"/>
        <sz val="12"/>
        <rFont val="Arial"/>
        <family val="2"/>
      </rPr>
      <t>2</t>
    </r>
    <r>
      <rPr>
        <vertAlign val="superscript"/>
        <sz val="12"/>
        <rFont val="Arial"/>
        <family val="2"/>
      </rPr>
      <t>-</t>
    </r>
  </si>
  <si>
    <t>Temperature</t>
  </si>
  <si>
    <t>T</t>
  </si>
  <si>
    <t>K</t>
  </si>
  <si>
    <t>Comammox</t>
  </si>
  <si>
    <r>
      <t>NO</t>
    </r>
    <r>
      <rPr>
        <vertAlign val="subscript"/>
        <sz val="12"/>
        <rFont val="Arial"/>
        <family val="2"/>
      </rPr>
      <t>3</t>
    </r>
    <r>
      <rPr>
        <vertAlign val="superscript"/>
        <sz val="12"/>
        <rFont val="Arial"/>
        <family val="2"/>
      </rPr>
      <t>-</t>
    </r>
  </si>
  <si>
    <r>
      <t>O</t>
    </r>
    <r>
      <rPr>
        <vertAlign val="subscript"/>
        <sz val="12"/>
        <rFont val="Arial"/>
        <family val="2"/>
      </rPr>
      <t>2</t>
    </r>
  </si>
  <si>
    <r>
      <t>HCO</t>
    </r>
    <r>
      <rPr>
        <vertAlign val="subscript"/>
        <sz val="12"/>
        <color theme="1"/>
        <rFont val="Arial"/>
        <family val="2"/>
      </rPr>
      <t>3</t>
    </r>
    <r>
      <rPr>
        <vertAlign val="superscript"/>
        <sz val="12"/>
        <color theme="1"/>
        <rFont val="Arial"/>
        <family val="2"/>
      </rPr>
      <t>-</t>
    </r>
  </si>
  <si>
    <r>
      <t>gN</t>
    </r>
    <r>
      <rPr>
        <vertAlign val="subscript"/>
        <sz val="12"/>
        <color theme="1"/>
        <rFont val="Arial"/>
        <family val="2"/>
      </rPr>
      <t>2</t>
    </r>
  </si>
  <si>
    <r>
      <t>gO</t>
    </r>
    <r>
      <rPr>
        <vertAlign val="subscript"/>
        <sz val="12"/>
        <color theme="1"/>
        <rFont val="Arial"/>
        <family val="2"/>
      </rPr>
      <t>2</t>
    </r>
  </si>
  <si>
    <r>
      <t>gCO</t>
    </r>
    <r>
      <rPr>
        <vertAlign val="subscript"/>
        <sz val="12"/>
        <color theme="1"/>
        <rFont val="Arial"/>
        <family val="2"/>
      </rPr>
      <t>2</t>
    </r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</si>
  <si>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</si>
  <si>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</si>
  <si>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</t>
    </r>
    <r>
      <rPr>
        <vertAlign val="superscript"/>
        <sz val="12"/>
        <rFont val="Arial"/>
        <family val="2"/>
      </rPr>
      <t>+</t>
    </r>
  </si>
  <si>
    <r>
      <t>e</t>
    </r>
    <r>
      <rPr>
        <vertAlign val="superscript"/>
        <sz val="12"/>
        <rFont val="Arial"/>
        <family val="2"/>
      </rPr>
      <t>-</t>
    </r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</si>
  <si>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</si>
  <si>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</si>
  <si>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</si>
  <si>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</si>
  <si>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</si>
  <si>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Commamox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</si>
  <si>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</si>
  <si>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</si>
  <si>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</si>
  <si>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</si>
  <si>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</si>
  <si>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</si>
  <si>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</si>
  <si>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</si>
  <si>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</si>
  <si>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muAOB</t>
  </si>
  <si>
    <t>muNOB</t>
  </si>
  <si>
    <t>bAOB</t>
  </si>
  <si>
    <t>bNOB</t>
  </si>
  <si>
    <t>Ks_NH3</t>
  </si>
  <si>
    <t>Ks_NO2</t>
  </si>
  <si>
    <t>Ks_O2</t>
  </si>
  <si>
    <t>Ki_NH3</t>
  </si>
  <si>
    <t>Ki_O2</t>
  </si>
  <si>
    <t>eD</t>
  </si>
  <si>
    <t>AOB</t>
  </si>
  <si>
    <t>NH3</t>
  </si>
  <si>
    <t>Nitrob</t>
  </si>
  <si>
    <t>NO2</t>
  </si>
  <si>
    <t>Nitros</t>
  </si>
  <si>
    <t>AMX</t>
  </si>
  <si>
    <t>Cat</t>
  </si>
  <si>
    <t>Anab</t>
  </si>
  <si>
    <t>Decay</t>
  </si>
  <si>
    <t>NO3</t>
  </si>
  <si>
    <t>O2</t>
  </si>
  <si>
    <t>CO2</t>
  </si>
  <si>
    <t>SO4</t>
  </si>
  <si>
    <t>Na</t>
  </si>
  <si>
    <t>gN2</t>
  </si>
  <si>
    <t>H2O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</si>
  <si>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</si>
  <si>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</si>
  <si>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</si>
  <si>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</si>
  <si>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</si>
  <si>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</si>
  <si>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</si>
  <si>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</si>
  <si>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</si>
  <si>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</si>
  <si>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</si>
  <si>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</si>
  <si>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</si>
  <si>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</si>
  <si>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</si>
  <si>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</si>
  <si>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</si>
  <si>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</si>
  <si>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</si>
  <si>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</si>
  <si>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s_dist</t>
  </si>
  <si>
    <t>overlap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</si>
  <si>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</si>
  <si>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</si>
  <si>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</si>
  <si>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</si>
  <si>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</si>
  <si>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</si>
  <si>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</si>
  <si>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</si>
  <si>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</si>
  <si>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</si>
  <si>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</si>
  <si>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</si>
  <si>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</si>
  <si>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</si>
  <si>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</si>
  <si>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</si>
  <si>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</si>
  <si>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</si>
  <si>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</si>
  <si>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</si>
  <si>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</si>
  <si>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</si>
  <si>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</si>
  <si>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</si>
  <si>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Diff_NH3</t>
  </si>
  <si>
    <t>m2/h</t>
  </si>
  <si>
    <t>Diff_NO2</t>
  </si>
  <si>
    <t>Diff_NO3</t>
  </si>
  <si>
    <t>Diff_O2</t>
  </si>
  <si>
    <t>Diff_CO2</t>
  </si>
  <si>
    <t>Diff_SO4</t>
  </si>
  <si>
    <t>Diff_Na</t>
  </si>
  <si>
    <t>Tol_abs</t>
  </si>
  <si>
    <t>M</t>
  </si>
  <si>
    <t>Tol_r_NH3</t>
  </si>
  <si>
    <t>%</t>
  </si>
  <si>
    <t>Tol_r_NO2</t>
  </si>
  <si>
    <t>Tol_r_NO3</t>
  </si>
  <si>
    <t>Tol_r_O2</t>
  </si>
  <si>
    <t>Tol_r_CO2</t>
  </si>
  <si>
    <t>Tol_r_SO4</t>
  </si>
  <si>
    <t>Tol_r_Na</t>
  </si>
  <si>
    <t>dT_backup</t>
  </si>
  <si>
    <t>Simulation description</t>
  </si>
  <si>
    <t>Goal</t>
  </si>
  <si>
    <t>Simulation name</t>
  </si>
  <si>
    <t>Ki_NO2</t>
  </si>
  <si>
    <t>SP</t>
  </si>
  <si>
    <t>varHRT</t>
  </si>
  <si>
    <t>Y=1 / N=0</t>
  </si>
  <si>
    <t>structure_model</t>
  </si>
  <si>
    <t>type</t>
  </si>
  <si>
    <t>pH_included</t>
  </si>
  <si>
    <t>Neut</t>
  </si>
  <si>
    <t>AOBNOBAMX</t>
  </si>
  <si>
    <t>[NH3]sp=20mM</t>
  </si>
  <si>
    <t>AOB/NOB system</t>
  </si>
  <si>
    <t>T=20C, pH=7.7</t>
  </si>
  <si>
    <t>[O2]=6mg/L</t>
  </si>
  <si>
    <t>constantpH</t>
  </si>
  <si>
    <t>inacivationBac</t>
  </si>
  <si>
    <t>kDist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</si>
</sst>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2"/>
      <name val="Arial"/>
      <family val="2"/>
    </font>
    <font>
      <vertAlign val="subscript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54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3" fillId="0" borderId="3" xfId="7" applyFont="1" applyBorder="1"/>
    <xf numFmtId="0" fontId="4" fillId="0" borderId="0" xfId="7" applyFont="1"/>
    <xf numFmtId="0" fontId="13" fillId="0" borderId="1" xfId="7" applyFont="1" applyBorder="1"/>
    <xf numFmtId="0" fontId="12" fillId="0" borderId="2" xfId="7" applyFont="1" applyBorder="1" applyAlignment="1">
      <alignment horizontal="center"/>
    </xf>
    <xf numFmtId="0" fontId="11" fillId="0" borderId="0" xfId="7" applyFont="1"/>
    <xf numFmtId="0" fontId="4" fillId="0" borderId="0" xfId="7" applyFont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2" fontId="1" fillId="0" borderId="0" xfId="7" applyNumberFormat="1"/>
    <xf numFmtId="0" fontId="7" fillId="0" borderId="2" xfId="7" applyFont="1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2" fillId="0" borderId="6" xfId="7" applyFont="1" applyBorder="1" applyAlignment="1">
      <alignment horizontal="center"/>
    </xf>
    <xf numFmtId="0" fontId="12" fillId="0" borderId="5" xfId="7" applyFont="1" applyBorder="1" applyAlignment="1">
      <alignment horizontal="center"/>
    </xf>
    <xf numFmtId="170" fontId="12" fillId="0" borderId="4" xfId="7" applyNumberFormat="1" applyFont="1" applyBorder="1" applyAlignment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7" fillId="0" borderId="0" xfId="7" applyFont="1" applyAlignment="1">
      <alignment horizontal="center"/>
    </xf>
    <xf numFmtId="169" fontId="4" fillId="0" borderId="0" xfId="7" applyNumberFormat="1" applyFont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0" xfId="0" applyFont="1"/>
    <xf numFmtId="0" fontId="25" fillId="2" borderId="6" xfId="0" applyFont="1" applyFill="1" applyBorder="1" applyAlignment="1">
      <alignment horizontal="center" vertical="center"/>
    </xf>
    <xf numFmtId="0" fontId="28" fillId="0" borderId="0" xfId="0" applyFont="1"/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1" fillId="9" borderId="28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1" fillId="0" borderId="22" xfId="6" applyNumberFormat="1" applyFont="1" applyBorder="1" applyAlignment="1">
      <alignment horizontal="center" vertical="center"/>
    </xf>
    <xf numFmtId="2" fontId="31" fillId="0" borderId="30" xfId="6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1" fillId="0" borderId="2" xfId="6" applyNumberFormat="1" applyFont="1" applyBorder="1" applyAlignment="1">
      <alignment horizontal="center" vertical="center"/>
    </xf>
    <xf numFmtId="2" fontId="31" fillId="0" borderId="32" xfId="6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1" fillId="0" borderId="14" xfId="6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2" fontId="31" fillId="0" borderId="35" xfId="6" applyNumberFormat="1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2" fontId="31" fillId="0" borderId="6" xfId="6" applyNumberFormat="1" applyFont="1" applyBorder="1" applyAlignment="1">
      <alignment horizontal="center" vertical="center"/>
    </xf>
    <xf numFmtId="2" fontId="31" fillId="0" borderId="5" xfId="6" applyNumberFormat="1" applyFont="1" applyBorder="1" applyAlignment="1">
      <alignment horizontal="center" vertical="center"/>
    </xf>
    <xf numFmtId="2" fontId="31" fillId="0" borderId="37" xfId="6" applyNumberFormat="1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1" fillId="2" borderId="2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1" fillId="0" borderId="41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1" fontId="31" fillId="0" borderId="17" xfId="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35" xfId="0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1" fontId="31" fillId="0" borderId="38" xfId="0" applyNumberFormat="1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2" borderId="6" xfId="6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/>
    <xf numFmtId="0" fontId="7" fillId="0" borderId="0" xfId="7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1" fontId="2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2" fontId="31" fillId="0" borderId="19" xfId="6" applyNumberFormat="1" applyFont="1" applyBorder="1" applyAlignment="1">
      <alignment horizontal="center" vertical="center"/>
    </xf>
    <xf numFmtId="2" fontId="31" fillId="0" borderId="13" xfId="6" applyNumberFormat="1" applyFont="1" applyBorder="1" applyAlignment="1">
      <alignment horizontal="center" vertical="center"/>
    </xf>
    <xf numFmtId="2" fontId="31" fillId="0" borderId="49" xfId="6" applyNumberFormat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1" fillId="0" borderId="11" xfId="6" applyNumberFormat="1" applyFont="1" applyBorder="1" applyAlignment="1">
      <alignment horizontal="center" vertical="center"/>
    </xf>
    <xf numFmtId="2" fontId="31" fillId="0" borderId="34" xfId="6" applyNumberFormat="1" applyFont="1" applyBorder="1" applyAlignment="1">
      <alignment horizontal="center" vertical="center"/>
    </xf>
    <xf numFmtId="2" fontId="31" fillId="0" borderId="4" xfId="6" applyNumberFormat="1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9" xfId="0" applyNumberFormat="1" applyFont="1" applyBorder="1" applyAlignment="1">
      <alignment horizontal="center" vertical="center"/>
    </xf>
    <xf numFmtId="1" fontId="31" fillId="0" borderId="48" xfId="0" applyNumberFormat="1" applyFont="1" applyBorder="1" applyAlignment="1">
      <alignment horizontal="center" vertical="center"/>
    </xf>
    <xf numFmtId="2" fontId="31" fillId="0" borderId="38" xfId="6" applyNumberFormat="1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25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46" xfId="0" applyNumberFormat="1" applyFont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7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5CC223E8-22CF-48C3-ABCE-0A00391E726E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11-08T19:48:53.62" personId="{5CC223E8-22CF-48C3-ABCE-0A00391E726E}" id="{DACAAB04-91D6-46CD-8CAD-86D83E03E1FB}">
    <text>only for structure_model = true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5-06T14:34:17.37" personId="{5CC223E8-22CF-48C3-ABCE-0A00391E726E}" id="{EB05906B-4FDF-4F3A-9F16-304D214E21DA}">
    <text>From [Straka2019]</text>
  </threadedComment>
  <threadedComment ref="A5" dT="2021-05-06T16:34:54.75" personId="{5CC223E8-22CF-48C3-ABCE-0A00391E726E}" id="{D6CBD48F-908F-415D-85D3-01DF9012B8F4}" parentId="{EB05906B-4FDF-4F3A-9F16-304D214E21DA}">
    <text>Assume NH3 and HNO2 uptake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1-05-05T18:59:54.11" personId="{5CC223E8-22CF-48C3-ABCE-0A00391E726E}" id="{C974814D-D8B6-4CD6-991A-CBBB4DFDBC98}">
    <text>FNA (HNO2) [Jubany2008]</text>
  </threadedComment>
  <threadedComment ref="B3" dT="2021-05-05T19:00:22.50" personId="{5CC223E8-22CF-48C3-ABCE-0A00391E726E}" id="{05F726E0-C7F1-49D9-8ED7-24AEB4001195}">
    <text>FA (NH3) [Kim2008, Blackburne2007a]</text>
  </threadedComment>
  <threadedComment ref="B4" dT="2021-05-05T19:00:22.50" personId="{5CC223E8-22CF-48C3-ABCE-0A00391E726E}" id="{D064E097-E78F-4D47-A591-B49A470F82C3}">
    <text>FA (NH3) [Kim2008, Blackburne2007a]</text>
  </threadedComment>
  <threadedComment ref="A5" dT="2021-05-06T14:34:17.37" personId="{5CC223E8-22CF-48C3-ABCE-0A00391E726E}" id="{9E173475-A3E1-4592-9E26-3ED281F08895}">
    <text>From [Straka2019]</text>
  </threadedComment>
  <threadedComment ref="A5" dT="2021-05-06T16:34:54.75" personId="{5CC223E8-22CF-48C3-ABCE-0A00391E726E}" id="{82F57347-8621-4875-B468-40C3AEBD861B}" parentId="{9E173475-A3E1-4592-9E26-3ED281F08895}">
    <text>Assume NH3 and HNO2 uptake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5-06T15:55:10.24" personId="{5CC223E8-22CF-48C3-ABCE-0A00391E726E}" id="{2DA3CA1D-DB8B-4C21-B522-1CFF8184545D}">
    <text>AOB and NOB: calculated [Rebeca]</text>
  </threadedComment>
  <threadedComment ref="A5" dT="2021-05-06T14:34:17.37" personId="{5CC223E8-22CF-48C3-ABCE-0A00391E726E}" id="{90B047D6-DCE4-4B7D-9AD1-0DB615C5A21D}">
    <text>From [Straka2019]</text>
  </threadedComment>
  <threadedComment ref="A5" dT="2021-05-06T16:34:54.75" personId="{5CC223E8-22CF-48C3-ABCE-0A00391E726E}" id="{A1ED707A-35B9-4E6D-80DF-8FCDFE85E489}" parentId="{90B047D6-DCE4-4B7D-9AD1-0DB615C5A21D}">
    <text>Assume NH3 and HNO2 uptake</text>
  </threadedComment>
  <threadedComment ref="B5" dT="2021-05-06T16:02:09.77" personId="{5CC223E8-22CF-48C3-ABCE-0A00391E726E}" id="{FAFA8C7C-6800-4018-947D-B9F524B630BA}">
    <text>From [Strous1998]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1-11-08T15:11:31.98" personId="{5CC223E8-22CF-48C3-ABCE-0A00391E726E}" id="{F9E69303-9E09-4AB4-B248-45D2ABEF281C}">
    <text>variable HRT (fix [S]sp)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838C-F568-417D-8029-DEFF7E533FF8}">
  <dimension ref="A1:C4"/>
  <sheetViews>
    <sheetView workbookViewId="0">
      <selection activeCell="E10" sqref="E10"/>
    </sheetView>
  </sheetViews>
  <sheetFormatPr defaultRowHeight="13.2" x14ac:dyDescent="0.25"/>
  <cols>
    <col min="1" max="1" width="44.44140625" customWidth="1"/>
    <col min="2" max="2" width="33.88671875" customWidth="1"/>
    <col min="3" max="3" width="45" customWidth="1"/>
  </cols>
  <sheetData>
    <row r="1" spans="1:3" x14ac:dyDescent="0.25">
      <c r="A1" s="238" t="s">
        <v>161</v>
      </c>
      <c r="B1" s="238" t="s">
        <v>159</v>
      </c>
      <c r="C1" s="238" t="s">
        <v>160</v>
      </c>
    </row>
    <row r="2" spans="1:3" x14ac:dyDescent="0.25">
      <c r="A2" s="237" t="s">
        <v>170</v>
      </c>
      <c r="B2" s="88" t="s">
        <v>171</v>
      </c>
      <c r="C2" s="88" t="s">
        <v>172</v>
      </c>
    </row>
    <row r="3" spans="1:3" x14ac:dyDescent="0.25">
      <c r="B3" s="88" t="s">
        <v>174</v>
      </c>
    </row>
    <row r="4" spans="1:3" x14ac:dyDescent="0.25">
      <c r="B4" s="88" t="s">
        <v>173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B1" sqref="B1"/>
    </sheetView>
  </sheetViews>
  <sheetFormatPr defaultColWidth="9.109375" defaultRowHeight="13.2" x14ac:dyDescent="0.25"/>
  <cols>
    <col min="1" max="3" width="9.109375" style="62"/>
    <col min="4" max="4" width="4.44140625" style="62" customWidth="1"/>
    <col min="5" max="16384" width="9.109375" style="62"/>
  </cols>
  <sheetData>
    <row r="1" spans="1:10" x14ac:dyDescent="0.25">
      <c r="A1" s="66" t="s">
        <v>79</v>
      </c>
      <c r="B1" s="223">
        <f>(40)/(17*1000)</f>
        <v>2.352941176470588E-3</v>
      </c>
      <c r="C1" s="84" t="s">
        <v>94</v>
      </c>
      <c r="D1" s="85" t="s">
        <v>20</v>
      </c>
      <c r="E1" s="88"/>
      <c r="F1" s="88"/>
      <c r="G1" s="88"/>
      <c r="H1" s="88"/>
      <c r="I1" s="88"/>
      <c r="J1" s="88"/>
    </row>
    <row r="2" spans="1:10" x14ac:dyDescent="0.25">
      <c r="A2" s="67" t="s">
        <v>81</v>
      </c>
      <c r="B2" s="180">
        <v>9.9999999999999995E-21</v>
      </c>
      <c r="C2" s="175" t="s">
        <v>94</v>
      </c>
      <c r="D2" s="89" t="s">
        <v>20</v>
      </c>
      <c r="E2" s="88"/>
      <c r="F2" s="88"/>
      <c r="G2" s="88"/>
      <c r="H2" s="88"/>
      <c r="I2" s="88"/>
      <c r="J2" s="88"/>
    </row>
    <row r="3" spans="1:10" x14ac:dyDescent="0.25">
      <c r="A3" s="67" t="s">
        <v>87</v>
      </c>
      <c r="B3" s="180">
        <v>9.9999999999999995E-21</v>
      </c>
      <c r="C3" s="175" t="s">
        <v>94</v>
      </c>
      <c r="D3" s="89" t="s">
        <v>20</v>
      </c>
      <c r="E3" s="88"/>
      <c r="F3" s="88"/>
      <c r="G3" s="88"/>
      <c r="H3" s="88"/>
      <c r="I3" s="88"/>
      <c r="J3" s="88"/>
    </row>
    <row r="4" spans="1:10" x14ac:dyDescent="0.25">
      <c r="A4" s="67" t="s">
        <v>88</v>
      </c>
      <c r="B4" s="180">
        <f>(6)/(32*1000)</f>
        <v>1.875E-4</v>
      </c>
      <c r="C4" s="175" t="s">
        <v>94</v>
      </c>
      <c r="D4" s="89" t="s">
        <v>98</v>
      </c>
      <c r="E4" s="88"/>
      <c r="F4" s="88"/>
      <c r="G4" s="88"/>
      <c r="H4" s="88"/>
      <c r="I4" s="88"/>
      <c r="J4" s="88"/>
    </row>
    <row r="5" spans="1:10" x14ac:dyDescent="0.25">
      <c r="A5" s="67" t="s">
        <v>89</v>
      </c>
      <c r="B5" s="180">
        <v>1E-3</v>
      </c>
      <c r="C5" s="175" t="s">
        <v>94</v>
      </c>
      <c r="D5" s="89" t="s">
        <v>98</v>
      </c>
      <c r="E5" s="222"/>
      <c r="F5" s="222"/>
      <c r="G5" s="88"/>
      <c r="H5" s="88"/>
      <c r="I5" s="88"/>
      <c r="J5" s="88"/>
    </row>
    <row r="6" spans="1:10" x14ac:dyDescent="0.25">
      <c r="A6" s="209" t="s">
        <v>90</v>
      </c>
      <c r="B6" s="180">
        <f>B1/2</f>
        <v>1.176470588235294E-3</v>
      </c>
      <c r="C6" s="175" t="s">
        <v>94</v>
      </c>
      <c r="D6" s="89" t="s">
        <v>98</v>
      </c>
      <c r="E6" s="222"/>
      <c r="F6" s="222"/>
      <c r="G6" s="88"/>
      <c r="H6" s="88"/>
      <c r="I6" s="88"/>
      <c r="J6" s="88"/>
    </row>
    <row r="7" spans="1:10" x14ac:dyDescent="0.25">
      <c r="A7" s="206" t="s">
        <v>91</v>
      </c>
      <c r="B7" s="216">
        <f>B5</f>
        <v>1E-3</v>
      </c>
      <c r="C7" s="207" t="s">
        <v>94</v>
      </c>
      <c r="D7" s="208" t="s">
        <v>98</v>
      </c>
      <c r="E7" s="88"/>
      <c r="F7" s="88"/>
      <c r="G7" s="88"/>
      <c r="H7" s="88"/>
      <c r="I7" s="88"/>
      <c r="J7" s="88"/>
    </row>
    <row r="13" spans="1:10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90"/>
    </row>
    <row r="16" spans="1:10" x14ac:dyDescent="0.25">
      <c r="A16" s="88"/>
      <c r="B16" s="88"/>
      <c r="C16" s="88"/>
      <c r="D16" s="88"/>
      <c r="E16" s="88"/>
      <c r="F16" s="88"/>
      <c r="G16" s="88"/>
      <c r="H16" s="90"/>
      <c r="I16" s="88"/>
      <c r="J16" s="8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I31" sqref="I31"/>
    </sheetView>
  </sheetViews>
  <sheetFormatPr defaultColWidth="11.44140625" defaultRowHeight="13.8" x14ac:dyDescent="0.25"/>
  <cols>
    <col min="1" max="2" width="11.44140625" customWidth="1"/>
    <col min="3" max="6" width="11.44140625" style="141"/>
    <col min="7" max="7" width="2.88671875" style="95" customWidth="1"/>
    <col min="8" max="8" width="3.5546875" style="96" customWidth="1"/>
  </cols>
  <sheetData>
    <row r="1" spans="1:9" ht="14.4" thickBot="1" x14ac:dyDescent="0.3">
      <c r="A1" s="91" t="s">
        <v>99</v>
      </c>
      <c r="B1" s="92">
        <v>0</v>
      </c>
      <c r="C1" s="93">
        <v>0</v>
      </c>
      <c r="D1" s="94">
        <v>-1</v>
      </c>
      <c r="E1" s="93">
        <v>-2</v>
      </c>
      <c r="F1" s="94">
        <v>-3</v>
      </c>
    </row>
    <row r="2" spans="1:9" x14ac:dyDescent="0.25">
      <c r="A2" s="97" t="s">
        <v>79</v>
      </c>
      <c r="B2" s="98" t="s">
        <v>100</v>
      </c>
      <c r="C2" s="98">
        <v>-79.37</v>
      </c>
      <c r="D2" s="98">
        <v>-26.57</v>
      </c>
      <c r="E2" s="98" t="s">
        <v>100</v>
      </c>
      <c r="F2" s="99" t="s">
        <v>100</v>
      </c>
      <c r="G2" s="100">
        <v>3</v>
      </c>
      <c r="H2" s="101" t="s">
        <v>95</v>
      </c>
    </row>
    <row r="3" spans="1:9" x14ac:dyDescent="0.25">
      <c r="A3" s="102" t="s">
        <v>81</v>
      </c>
      <c r="B3" s="103" t="s">
        <v>100</v>
      </c>
      <c r="C3" s="103">
        <v>-50.6</v>
      </c>
      <c r="D3" s="103">
        <v>-32.200000000000003</v>
      </c>
      <c r="E3" s="103" t="s">
        <v>100</v>
      </c>
      <c r="F3" s="104" t="s">
        <v>100</v>
      </c>
      <c r="G3" s="105">
        <v>2</v>
      </c>
      <c r="H3" s="106" t="s">
        <v>95</v>
      </c>
    </row>
    <row r="4" spans="1:9" x14ac:dyDescent="0.25">
      <c r="A4" s="102" t="s">
        <v>87</v>
      </c>
      <c r="B4" s="103" t="s">
        <v>100</v>
      </c>
      <c r="C4" s="103">
        <v>-103.7</v>
      </c>
      <c r="D4" s="103">
        <v>-111.3</v>
      </c>
      <c r="E4" s="103" t="s">
        <v>100</v>
      </c>
      <c r="F4" s="104" t="s">
        <v>100</v>
      </c>
      <c r="G4" s="105">
        <v>2</v>
      </c>
      <c r="H4" s="106" t="s">
        <v>95</v>
      </c>
    </row>
    <row r="5" spans="1:9" x14ac:dyDescent="0.25">
      <c r="A5" s="102" t="s">
        <v>88</v>
      </c>
      <c r="B5" s="103" t="s">
        <v>100</v>
      </c>
      <c r="C5" s="103">
        <v>16.399999999999999</v>
      </c>
      <c r="D5" s="103" t="s">
        <v>100</v>
      </c>
      <c r="E5" s="103" t="s">
        <v>100</v>
      </c>
      <c r="F5" s="104" t="s">
        <v>100</v>
      </c>
      <c r="G5" s="105">
        <v>2</v>
      </c>
      <c r="H5" s="106" t="s">
        <v>95</v>
      </c>
    </row>
    <row r="6" spans="1:9" x14ac:dyDescent="0.25">
      <c r="A6" s="102" t="s">
        <v>89</v>
      </c>
      <c r="B6" s="103">
        <v>-386</v>
      </c>
      <c r="C6" s="103">
        <v>-623.16</v>
      </c>
      <c r="D6" s="103">
        <v>-586.85</v>
      </c>
      <c r="E6" s="103">
        <v>-527.79999999999995</v>
      </c>
      <c r="F6" s="104" t="s">
        <v>100</v>
      </c>
      <c r="G6" s="105">
        <v>3</v>
      </c>
      <c r="H6" s="106" t="s">
        <v>95</v>
      </c>
    </row>
    <row r="7" spans="1:9" x14ac:dyDescent="0.25">
      <c r="A7" s="201" t="s">
        <v>90</v>
      </c>
      <c r="B7" s="204" t="s">
        <v>100</v>
      </c>
      <c r="C7" s="113">
        <v>-755.9</v>
      </c>
      <c r="D7" s="113">
        <v>-744.5</v>
      </c>
      <c r="E7" s="113" t="s">
        <v>100</v>
      </c>
      <c r="F7" s="213" t="s">
        <v>100</v>
      </c>
      <c r="G7" s="116">
        <v>4</v>
      </c>
      <c r="H7" s="117" t="s">
        <v>95</v>
      </c>
    </row>
    <row r="8" spans="1:9" s="95" customFormat="1" x14ac:dyDescent="0.25">
      <c r="A8" s="199" t="s">
        <v>91</v>
      </c>
      <c r="B8" s="202" t="s">
        <v>100</v>
      </c>
      <c r="C8" s="107">
        <v>0</v>
      </c>
      <c r="D8" s="107" t="s">
        <v>100</v>
      </c>
      <c r="E8" s="107" t="s">
        <v>100</v>
      </c>
      <c r="F8" s="203" t="s">
        <v>100</v>
      </c>
      <c r="G8" s="108">
        <v>2</v>
      </c>
      <c r="H8" s="109" t="s">
        <v>95</v>
      </c>
      <c r="I8"/>
    </row>
    <row r="9" spans="1:9" s="95" customFormat="1" x14ac:dyDescent="0.25">
      <c r="A9" s="184" t="s">
        <v>92</v>
      </c>
      <c r="B9" s="185" t="s">
        <v>100</v>
      </c>
      <c r="C9" s="186">
        <v>0</v>
      </c>
      <c r="D9" s="186" t="s">
        <v>100</v>
      </c>
      <c r="E9" s="186" t="s">
        <v>100</v>
      </c>
      <c r="F9" s="187" t="s">
        <v>100</v>
      </c>
      <c r="G9" s="188">
        <v>2</v>
      </c>
      <c r="H9" s="189" t="s">
        <v>97</v>
      </c>
    </row>
    <row r="10" spans="1:9" s="95" customFormat="1" x14ac:dyDescent="0.25">
      <c r="A10" s="110" t="s">
        <v>93</v>
      </c>
      <c r="B10" s="107" t="s">
        <v>100</v>
      </c>
      <c r="C10" s="107">
        <v>-237.18</v>
      </c>
      <c r="D10" s="107">
        <v>-157.30000000000001</v>
      </c>
      <c r="E10" s="107" t="s">
        <v>100</v>
      </c>
      <c r="F10" s="111" t="s">
        <v>100</v>
      </c>
      <c r="G10" s="108">
        <v>2</v>
      </c>
      <c r="H10" s="109" t="s">
        <v>95</v>
      </c>
    </row>
    <row r="11" spans="1:9" s="95" customFormat="1" x14ac:dyDescent="0.25">
      <c r="A11" s="112" t="s">
        <v>18</v>
      </c>
      <c r="B11" s="113" t="s">
        <v>100</v>
      </c>
      <c r="C11" s="113">
        <v>0</v>
      </c>
      <c r="D11" s="113" t="s">
        <v>100</v>
      </c>
      <c r="E11" s="114" t="s">
        <v>100</v>
      </c>
      <c r="F11" s="115" t="s">
        <v>100</v>
      </c>
      <c r="G11" s="116">
        <v>2</v>
      </c>
      <c r="H11" s="117" t="s">
        <v>95</v>
      </c>
    </row>
    <row r="12" spans="1:9" s="95" customFormat="1" x14ac:dyDescent="0.25">
      <c r="A12" s="118" t="s">
        <v>78</v>
      </c>
      <c r="B12" s="119" t="s">
        <v>100</v>
      </c>
      <c r="C12" s="120">
        <v>-67</v>
      </c>
      <c r="D12" s="119" t="s">
        <v>100</v>
      </c>
      <c r="E12" s="120" t="s">
        <v>100</v>
      </c>
      <c r="F12" s="121" t="s">
        <v>100</v>
      </c>
      <c r="G12" s="108">
        <v>2</v>
      </c>
      <c r="H12" s="122" t="s">
        <v>22</v>
      </c>
    </row>
    <row r="13" spans="1:9" s="95" customFormat="1" x14ac:dyDescent="0.25">
      <c r="A13" s="123" t="s">
        <v>80</v>
      </c>
      <c r="B13" s="119" t="s">
        <v>100</v>
      </c>
      <c r="C13" s="120">
        <v>-67</v>
      </c>
      <c r="D13" s="119" t="s">
        <v>100</v>
      </c>
      <c r="E13" s="120" t="s">
        <v>100</v>
      </c>
      <c r="F13" s="121" t="s">
        <v>100</v>
      </c>
      <c r="G13" s="105">
        <v>2</v>
      </c>
      <c r="H13" s="106" t="s">
        <v>22</v>
      </c>
    </row>
    <row r="14" spans="1:9" s="95" customFormat="1" x14ac:dyDescent="0.25">
      <c r="A14" s="123" t="s">
        <v>82</v>
      </c>
      <c r="B14" s="119" t="s">
        <v>100</v>
      </c>
      <c r="C14" s="120">
        <v>-67</v>
      </c>
      <c r="D14" s="119" t="s">
        <v>100</v>
      </c>
      <c r="E14" s="120" t="s">
        <v>100</v>
      </c>
      <c r="F14" s="121" t="s">
        <v>100</v>
      </c>
      <c r="G14" s="105">
        <v>2</v>
      </c>
      <c r="H14" s="106" t="s">
        <v>22</v>
      </c>
    </row>
    <row r="15" spans="1:9" s="95" customFormat="1" ht="14.4" thickBot="1" x14ac:dyDescent="0.3">
      <c r="A15" s="123" t="s">
        <v>83</v>
      </c>
      <c r="B15" s="119" t="s">
        <v>100</v>
      </c>
      <c r="C15" s="120">
        <v>-67</v>
      </c>
      <c r="D15" s="119" t="s">
        <v>100</v>
      </c>
      <c r="E15" s="120" t="s">
        <v>100</v>
      </c>
      <c r="F15" s="121" t="s">
        <v>100</v>
      </c>
      <c r="G15" s="124">
        <v>2</v>
      </c>
      <c r="H15" s="125" t="s">
        <v>22</v>
      </c>
    </row>
    <row r="16" spans="1:9" s="95" customFormat="1" x14ac:dyDescent="0.25">
      <c r="A16" s="97" t="s">
        <v>79</v>
      </c>
      <c r="B16" s="126" t="s">
        <v>101</v>
      </c>
      <c r="C16" s="127">
        <v>1</v>
      </c>
      <c r="D16" s="127">
        <v>0</v>
      </c>
      <c r="E16" s="127" t="s">
        <v>101</v>
      </c>
      <c r="F16" s="128" t="s">
        <v>101</v>
      </c>
      <c r="H16" s="96"/>
    </row>
    <row r="17" spans="1:9" s="95" customFormat="1" x14ac:dyDescent="0.25">
      <c r="A17" s="102" t="s">
        <v>81</v>
      </c>
      <c r="B17" s="129" t="s">
        <v>101</v>
      </c>
      <c r="C17" s="130">
        <v>0</v>
      </c>
      <c r="D17" s="130">
        <v>-1</v>
      </c>
      <c r="E17" s="130" t="s">
        <v>101</v>
      </c>
      <c r="F17" s="131" t="s">
        <v>101</v>
      </c>
      <c r="H17" s="96"/>
    </row>
    <row r="18" spans="1:9" s="95" customFormat="1" x14ac:dyDescent="0.25">
      <c r="A18" s="102" t="s">
        <v>87</v>
      </c>
      <c r="B18" s="129" t="s">
        <v>101</v>
      </c>
      <c r="C18" s="130">
        <v>0</v>
      </c>
      <c r="D18" s="130">
        <v>-1</v>
      </c>
      <c r="E18" s="130" t="s">
        <v>101</v>
      </c>
      <c r="F18" s="131" t="s">
        <v>101</v>
      </c>
      <c r="H18" s="96"/>
    </row>
    <row r="19" spans="1:9" s="95" customFormat="1" x14ac:dyDescent="0.25">
      <c r="A19" s="102" t="s">
        <v>88</v>
      </c>
      <c r="B19" s="129" t="s">
        <v>101</v>
      </c>
      <c r="C19" s="130">
        <v>0</v>
      </c>
      <c r="D19" s="130" t="s">
        <v>101</v>
      </c>
      <c r="E19" s="130" t="s">
        <v>101</v>
      </c>
      <c r="F19" s="131" t="s">
        <v>101</v>
      </c>
      <c r="H19" s="96"/>
    </row>
    <row r="20" spans="1:9" x14ac:dyDescent="0.25">
      <c r="A20" s="102" t="s">
        <v>89</v>
      </c>
      <c r="B20" s="129">
        <v>0</v>
      </c>
      <c r="C20" s="130">
        <v>0</v>
      </c>
      <c r="D20" s="130">
        <v>-1</v>
      </c>
      <c r="E20" s="130">
        <v>-2</v>
      </c>
      <c r="F20" s="131" t="s">
        <v>101</v>
      </c>
      <c r="I20" s="95"/>
    </row>
    <row r="21" spans="1:9" x14ac:dyDescent="0.25">
      <c r="A21" s="201" t="s">
        <v>90</v>
      </c>
      <c r="B21" s="134" t="s">
        <v>101</v>
      </c>
      <c r="C21" s="134">
        <v>-1</v>
      </c>
      <c r="D21" s="134">
        <v>-2</v>
      </c>
      <c r="E21" s="134" t="s">
        <v>101</v>
      </c>
      <c r="F21" s="135" t="s">
        <v>101</v>
      </c>
      <c r="I21" s="95"/>
    </row>
    <row r="22" spans="1:9" x14ac:dyDescent="0.25">
      <c r="A22" s="199" t="s">
        <v>91</v>
      </c>
      <c r="B22" s="132" t="s">
        <v>101</v>
      </c>
      <c r="C22" s="132">
        <v>1</v>
      </c>
      <c r="D22" s="132" t="s">
        <v>101</v>
      </c>
      <c r="E22" s="132" t="s">
        <v>101</v>
      </c>
      <c r="F22" s="133" t="s">
        <v>101</v>
      </c>
      <c r="H22" s="95"/>
      <c r="I22" s="95"/>
    </row>
    <row r="23" spans="1:9" x14ac:dyDescent="0.25">
      <c r="A23" s="184" t="s">
        <v>92</v>
      </c>
      <c r="B23" s="210" t="s">
        <v>101</v>
      </c>
      <c r="C23" s="210">
        <v>0</v>
      </c>
      <c r="D23" s="211" t="s">
        <v>101</v>
      </c>
      <c r="E23" s="210" t="s">
        <v>101</v>
      </c>
      <c r="F23" s="212" t="s">
        <v>101</v>
      </c>
      <c r="H23" s="95"/>
      <c r="I23" s="95"/>
    </row>
    <row r="24" spans="1:9" x14ac:dyDescent="0.25">
      <c r="A24" s="110" t="s">
        <v>93</v>
      </c>
      <c r="B24" s="132" t="s">
        <v>101</v>
      </c>
      <c r="C24" s="132">
        <v>0</v>
      </c>
      <c r="D24" s="132">
        <v>-1</v>
      </c>
      <c r="E24" s="132" t="s">
        <v>101</v>
      </c>
      <c r="F24" s="133" t="s">
        <v>101</v>
      </c>
      <c r="H24" s="95"/>
      <c r="I24" s="95"/>
    </row>
    <row r="25" spans="1:9" x14ac:dyDescent="0.25">
      <c r="A25" s="112" t="s">
        <v>18</v>
      </c>
      <c r="B25" s="134" t="s">
        <v>101</v>
      </c>
      <c r="C25" s="134">
        <v>1</v>
      </c>
      <c r="D25" s="134" t="s">
        <v>101</v>
      </c>
      <c r="E25" s="134" t="s">
        <v>101</v>
      </c>
      <c r="F25" s="135" t="s">
        <v>101</v>
      </c>
      <c r="H25" s="95"/>
    </row>
    <row r="26" spans="1:9" x14ac:dyDescent="0.25">
      <c r="A26" s="118" t="s">
        <v>78</v>
      </c>
      <c r="B26" s="136" t="s">
        <v>101</v>
      </c>
      <c r="C26" s="136">
        <v>0</v>
      </c>
      <c r="D26" s="136" t="s">
        <v>101</v>
      </c>
      <c r="E26" s="136" t="s">
        <v>101</v>
      </c>
      <c r="F26" s="137" t="s">
        <v>101</v>
      </c>
      <c r="H26" s="95"/>
    </row>
    <row r="27" spans="1:9" x14ac:dyDescent="0.25">
      <c r="A27" s="123" t="s">
        <v>80</v>
      </c>
      <c r="B27" s="214" t="s">
        <v>101</v>
      </c>
      <c r="C27" s="214">
        <v>0</v>
      </c>
      <c r="D27" s="214" t="s">
        <v>101</v>
      </c>
      <c r="E27" s="214" t="s">
        <v>101</v>
      </c>
      <c r="F27" s="137" t="s">
        <v>101</v>
      </c>
      <c r="H27" s="95"/>
    </row>
    <row r="28" spans="1:9" x14ac:dyDescent="0.25">
      <c r="A28" s="123" t="s">
        <v>82</v>
      </c>
      <c r="B28" s="214" t="s">
        <v>101</v>
      </c>
      <c r="C28" s="214">
        <v>0</v>
      </c>
      <c r="D28" s="214" t="s">
        <v>101</v>
      </c>
      <c r="E28" s="214" t="s">
        <v>101</v>
      </c>
      <c r="F28" s="137" t="s">
        <v>101</v>
      </c>
      <c r="H28" s="95"/>
    </row>
    <row r="29" spans="1:9" ht="14.4" thickBot="1" x14ac:dyDescent="0.3">
      <c r="A29" s="138" t="s">
        <v>83</v>
      </c>
      <c r="B29" s="139" t="s">
        <v>101</v>
      </c>
      <c r="C29" s="139">
        <v>0</v>
      </c>
      <c r="D29" s="139" t="s">
        <v>101</v>
      </c>
      <c r="E29" s="139" t="s">
        <v>101</v>
      </c>
      <c r="F29" s="140" t="s">
        <v>101</v>
      </c>
      <c r="H29" s="95"/>
    </row>
    <row r="30" spans="1:9" ht="13.2" x14ac:dyDescent="0.25">
      <c r="A30" s="95"/>
      <c r="B30" s="95"/>
      <c r="C30" s="96"/>
      <c r="D30" s="95"/>
      <c r="E30" s="95"/>
      <c r="F30" s="95"/>
    </row>
    <row r="31" spans="1:9" ht="13.2" x14ac:dyDescent="0.25">
      <c r="A31" s="95"/>
      <c r="B31" s="95"/>
      <c r="C31" s="96"/>
      <c r="D31" s="95"/>
      <c r="E31" s="95"/>
      <c r="F31" s="95"/>
    </row>
  </sheetData>
  <conditionalFormatting sqref="B2:F5 B10:F20 B23:F29 B6:B8 D6:F6 D8:F8 F7 C7:D7">
    <cfRule type="containsText" dxfId="13" priority="19" operator="containsText" text="NA">
      <formula>NOT(ISERROR(SEARCH("NA",B2)))</formula>
    </cfRule>
    <cfRule type="containsText" dxfId="12" priority="20" operator="containsText" text="Inf">
      <formula>NOT(ISERROR(SEARCH("Inf",B2)))</formula>
    </cfRule>
  </conditionalFormatting>
  <conditionalFormatting sqref="B9:F9">
    <cfRule type="containsText" dxfId="11" priority="13" operator="containsText" text="NA">
      <formula>NOT(ISERROR(SEARCH("NA",B9)))</formula>
    </cfRule>
    <cfRule type="containsText" dxfId="10" priority="14" operator="containsText" text="Inf">
      <formula>NOT(ISERROR(SEARCH("Inf",B9)))</formula>
    </cfRule>
  </conditionalFormatting>
  <conditionalFormatting sqref="C6:C7">
    <cfRule type="containsText" dxfId="9" priority="15" operator="containsText" text="NA">
      <formula>NOT(ISERROR(SEARCH("NA",C6)))</formula>
    </cfRule>
    <cfRule type="containsText" dxfId="8" priority="16" operator="containsText" text="Inf">
      <formula>NOT(ISERROR(SEARCH("Inf",C6)))</formula>
    </cfRule>
  </conditionalFormatting>
  <conditionalFormatting sqref="C8">
    <cfRule type="containsText" dxfId="7" priority="9" operator="containsText" text="NA">
      <formula>NOT(ISERROR(SEARCH("NA",C8)))</formula>
    </cfRule>
    <cfRule type="containsText" dxfId="6" priority="10" operator="containsText" text="Inf">
      <formula>NOT(ISERROR(SEARCH("Inf",C8)))</formula>
    </cfRule>
  </conditionalFormatting>
  <conditionalFormatting sqref="B22:F22">
    <cfRule type="containsText" dxfId="5" priority="7" operator="containsText" text="NA">
      <formula>NOT(ISERROR(SEARCH("NA",B22)))</formula>
    </cfRule>
    <cfRule type="containsText" dxfId="4" priority="8" operator="containsText" text="Inf">
      <formula>NOT(ISERROR(SEARCH("Inf",B22)))</formula>
    </cfRule>
  </conditionalFormatting>
  <conditionalFormatting sqref="B21:F21">
    <cfRule type="containsText" dxfId="3" priority="3" operator="containsText" text="NA">
      <formula>NOT(ISERROR(SEARCH("NA",B21)))</formula>
    </cfRule>
    <cfRule type="containsText" dxfId="2" priority="4" operator="containsText" text="Inf">
      <formula>NOT(ISERROR(SEARCH("Inf",B21)))</formula>
    </cfRule>
  </conditionalFormatting>
  <conditionalFormatting sqref="E7">
    <cfRule type="containsText" dxfId="1" priority="1" operator="containsText" text="NA">
      <formula>NOT(ISERROR(SEARCH("NA",E7)))</formula>
    </cfRule>
    <cfRule type="containsText" dxfId="0" priority="2" operator="containsText" text="Inf">
      <formula>NOT(ISERROR(SEARCH("Inf",E7)))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tabSelected="1" workbookViewId="0">
      <selection activeCell="A10" sqref="A10"/>
    </sheetView>
  </sheetViews>
  <sheetFormatPr defaultColWidth="9.109375" defaultRowHeight="13.2" x14ac:dyDescent="0.25"/>
  <cols>
    <col min="1" max="1" width="14.88671875" style="62" customWidth="1"/>
    <col min="2" max="2" width="13.88671875" style="62" customWidth="1"/>
    <col min="3" max="3" width="9.109375" style="62"/>
    <col min="4" max="5" width="12.44140625" style="62" bestFit="1" customWidth="1"/>
    <col min="6" max="16384" width="9.109375" style="62"/>
  </cols>
  <sheetData>
    <row r="1" spans="1:4" x14ac:dyDescent="0.25">
      <c r="A1" s="142" t="s">
        <v>102</v>
      </c>
      <c r="B1" s="223">
        <f>((4/3)*PI()*B3^3)*B4</f>
        <v>2.0943951023931951E-12</v>
      </c>
      <c r="C1" s="143" t="s">
        <v>16</v>
      </c>
      <c r="D1" s="88"/>
    </row>
    <row r="2" spans="1:4" x14ac:dyDescent="0.25">
      <c r="A2" s="144" t="s">
        <v>103</v>
      </c>
      <c r="B2" s="180">
        <f>0.1*B1</f>
        <v>2.0943951023931951E-13</v>
      </c>
      <c r="C2" s="145" t="s">
        <v>16</v>
      </c>
      <c r="D2" s="88"/>
    </row>
    <row r="3" spans="1:4" x14ac:dyDescent="0.25">
      <c r="A3" s="144" t="s">
        <v>104</v>
      </c>
      <c r="B3" s="180">
        <f>(1)*10^(-6)</f>
        <v>9.9999999999999995E-7</v>
      </c>
      <c r="C3" s="145" t="s">
        <v>105</v>
      </c>
      <c r="D3" s="222"/>
    </row>
    <row r="4" spans="1:4" x14ac:dyDescent="0.25">
      <c r="A4" s="144" t="s">
        <v>106</v>
      </c>
      <c r="B4" s="180">
        <f>500*1000</f>
        <v>500000</v>
      </c>
      <c r="C4" s="145" t="s">
        <v>107</v>
      </c>
      <c r="D4" s="88"/>
    </row>
    <row r="5" spans="1:4" x14ac:dyDescent="0.25">
      <c r="A5" s="144" t="s">
        <v>108</v>
      </c>
      <c r="B5" s="224">
        <v>24.6</v>
      </c>
      <c r="C5" s="145" t="s">
        <v>109</v>
      </c>
      <c r="D5" s="88"/>
    </row>
    <row r="6" spans="1:4" x14ac:dyDescent="0.25">
      <c r="A6" s="144" t="s">
        <v>110</v>
      </c>
      <c r="B6" s="224">
        <f>1000*10^(-6)</f>
        <v>1E-3</v>
      </c>
      <c r="C6" s="145" t="s">
        <v>105</v>
      </c>
      <c r="D6" s="88"/>
    </row>
    <row r="7" spans="1:4" x14ac:dyDescent="0.25">
      <c r="A7" s="144" t="s">
        <v>111</v>
      </c>
      <c r="B7" s="224">
        <f>500*10^(-6)</f>
        <v>5.0000000000000001E-4</v>
      </c>
      <c r="C7" s="145" t="s">
        <v>105</v>
      </c>
      <c r="D7" s="88"/>
    </row>
    <row r="8" spans="1:4" x14ac:dyDescent="0.25">
      <c r="A8" s="144" t="s">
        <v>112</v>
      </c>
      <c r="B8" s="173">
        <f>4*ROUND(((B6/2)^2)/((B3)^2),0)</f>
        <v>1000000</v>
      </c>
      <c r="C8" s="145" t="s">
        <v>113</v>
      </c>
      <c r="D8" s="88"/>
    </row>
    <row r="9" spans="1:4" x14ac:dyDescent="0.25">
      <c r="A9" s="81" t="s">
        <v>177</v>
      </c>
      <c r="B9" s="224">
        <v>1</v>
      </c>
      <c r="C9" s="145" t="s">
        <v>113</v>
      </c>
      <c r="D9" s="88"/>
    </row>
    <row r="10" spans="1:4" x14ac:dyDescent="0.25">
      <c r="A10" s="81" t="s">
        <v>114</v>
      </c>
      <c r="B10" s="158">
        <f>2*B3</f>
        <v>1.9999999999999999E-6</v>
      </c>
      <c r="C10" s="145" t="s">
        <v>105</v>
      </c>
      <c r="D10" s="88"/>
    </row>
    <row r="11" spans="1:4" ht="13.8" x14ac:dyDescent="0.3">
      <c r="A11" s="146" t="s">
        <v>115</v>
      </c>
      <c r="B11" s="159">
        <f>(2*B3)*0.1</f>
        <v>1.9999999999999999E-7</v>
      </c>
      <c r="C11" s="147" t="s">
        <v>105</v>
      </c>
      <c r="D11" s="88"/>
    </row>
    <row r="15" spans="1:4" x14ac:dyDescent="0.25">
      <c r="A15" s="88"/>
      <c r="B15" s="221"/>
      <c r="C15" s="88"/>
      <c r="D15" s="88"/>
    </row>
    <row r="16" spans="1:4" x14ac:dyDescent="0.25">
      <c r="A16" s="88"/>
      <c r="B16" s="222"/>
      <c r="C16" s="88"/>
      <c r="D16" s="88"/>
    </row>
    <row r="18" spans="3:5" x14ac:dyDescent="0.25">
      <c r="C18" s="222"/>
      <c r="D18" s="88"/>
      <c r="E18" s="88"/>
    </row>
    <row r="19" spans="3:5" x14ac:dyDescent="0.25">
      <c r="C19" s="88"/>
      <c r="D19" s="222"/>
      <c r="E19" s="88"/>
    </row>
    <row r="20" spans="3:5" x14ac:dyDescent="0.25">
      <c r="C20" s="88"/>
      <c r="D20" s="88"/>
      <c r="E20" s="22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B13" sqref="B13"/>
    </sheetView>
  </sheetViews>
  <sheetFormatPr defaultColWidth="9.109375" defaultRowHeight="13.2" x14ac:dyDescent="0.25"/>
  <cols>
    <col min="1" max="1" width="15.44140625" style="62" customWidth="1"/>
    <col min="2" max="16384" width="9.109375" style="62"/>
  </cols>
  <sheetData>
    <row r="1" spans="1:5" x14ac:dyDescent="0.25">
      <c r="A1" s="153" t="s">
        <v>127</v>
      </c>
      <c r="B1" s="226">
        <v>257</v>
      </c>
      <c r="C1" s="154" t="s">
        <v>113</v>
      </c>
      <c r="D1" s="88"/>
      <c r="E1" s="88"/>
    </row>
    <row r="2" spans="1:5" x14ac:dyDescent="0.25">
      <c r="A2" s="155" t="s">
        <v>128</v>
      </c>
      <c r="B2" s="227">
        <v>257</v>
      </c>
      <c r="C2" s="156" t="s">
        <v>113</v>
      </c>
      <c r="D2" s="88"/>
      <c r="E2" s="88"/>
    </row>
    <row r="3" spans="1:5" x14ac:dyDescent="0.25">
      <c r="A3" s="155" t="s">
        <v>129</v>
      </c>
      <c r="B3" s="228">
        <f>B5*B1</f>
        <v>1.0280000000000001E-3</v>
      </c>
      <c r="C3" s="156" t="s">
        <v>105</v>
      </c>
      <c r="D3" s="88"/>
      <c r="E3" s="88"/>
    </row>
    <row r="4" spans="1:5" x14ac:dyDescent="0.25">
      <c r="A4" s="155" t="s">
        <v>130</v>
      </c>
      <c r="B4" s="228">
        <f>B6*B2</f>
        <v>1.0280000000000001E-3</v>
      </c>
      <c r="C4" s="156" t="s">
        <v>105</v>
      </c>
      <c r="D4" s="88"/>
      <c r="E4" s="88"/>
    </row>
    <row r="5" spans="1:5" x14ac:dyDescent="0.25">
      <c r="A5" s="155" t="s">
        <v>131</v>
      </c>
      <c r="B5" s="228">
        <f>0.000001*4</f>
        <v>3.9999999999999998E-6</v>
      </c>
      <c r="C5" s="156" t="s">
        <v>105</v>
      </c>
      <c r="D5" s="88"/>
      <c r="E5" s="88"/>
    </row>
    <row r="6" spans="1:5" x14ac:dyDescent="0.25">
      <c r="A6" s="155" t="s">
        <v>132</v>
      </c>
      <c r="B6" s="228">
        <f>0.000001*4</f>
        <v>3.9999999999999998E-6</v>
      </c>
      <c r="C6" s="156" t="s">
        <v>105</v>
      </c>
      <c r="D6" s="88"/>
      <c r="E6" s="88"/>
    </row>
    <row r="7" spans="1:5" x14ac:dyDescent="0.25">
      <c r="A7" s="155" t="s">
        <v>133</v>
      </c>
      <c r="B7" s="228">
        <f>0.000001*4</f>
        <v>3.9999999999999998E-6</v>
      </c>
      <c r="C7" s="156" t="s">
        <v>105</v>
      </c>
      <c r="D7" s="88"/>
      <c r="E7" s="222"/>
    </row>
    <row r="8" spans="1:5" x14ac:dyDescent="0.25">
      <c r="A8" s="155" t="s">
        <v>134</v>
      </c>
      <c r="B8" s="174">
        <f>5*10^(-6)</f>
        <v>4.9999999999999996E-6</v>
      </c>
      <c r="C8" s="156" t="s">
        <v>105</v>
      </c>
      <c r="D8" s="88"/>
      <c r="E8" s="88"/>
    </row>
    <row r="9" spans="1:5" x14ac:dyDescent="0.25">
      <c r="A9" s="155" t="s">
        <v>135</v>
      </c>
      <c r="B9" s="229">
        <v>5000</v>
      </c>
      <c r="C9" s="156" t="s">
        <v>124</v>
      </c>
      <c r="D9" s="88"/>
      <c r="E9" s="88"/>
    </row>
    <row r="10" spans="1:5" x14ac:dyDescent="0.25">
      <c r="A10" s="155" t="s">
        <v>136</v>
      </c>
      <c r="B10" s="228">
        <v>1E-8</v>
      </c>
      <c r="C10" s="156" t="s">
        <v>124</v>
      </c>
      <c r="D10" s="88"/>
      <c r="E10" s="88"/>
    </row>
    <row r="11" spans="1:5" x14ac:dyDescent="0.25">
      <c r="A11" s="155" t="s">
        <v>137</v>
      </c>
      <c r="B11" s="235">
        <v>0.5</v>
      </c>
      <c r="C11" s="156" t="s">
        <v>124</v>
      </c>
      <c r="D11" s="88"/>
      <c r="E11" s="222"/>
    </row>
    <row r="12" spans="1:5" x14ac:dyDescent="0.25">
      <c r="A12" s="155" t="s">
        <v>138</v>
      </c>
      <c r="B12" s="235">
        <v>0.5</v>
      </c>
      <c r="C12" s="156" t="s">
        <v>124</v>
      </c>
      <c r="D12" s="88"/>
      <c r="E12" s="88"/>
    </row>
    <row r="13" spans="1:5" ht="13.8" thickBot="1" x14ac:dyDescent="0.3">
      <c r="A13" s="172" t="s">
        <v>139</v>
      </c>
      <c r="B13" s="236">
        <v>24</v>
      </c>
      <c r="C13" s="171" t="s">
        <v>124</v>
      </c>
      <c r="D13" s="88"/>
      <c r="E13" s="88"/>
    </row>
    <row r="14" spans="1:5" x14ac:dyDescent="0.25">
      <c r="A14" s="155" t="s">
        <v>158</v>
      </c>
      <c r="B14" s="191">
        <f>24*7</f>
        <v>168</v>
      </c>
      <c r="C14" s="234" t="s">
        <v>124</v>
      </c>
      <c r="D14" s="88"/>
      <c r="E14" s="90"/>
    </row>
    <row r="18" spans="4:5" x14ac:dyDescent="0.25">
      <c r="D18" s="222"/>
      <c r="E18" s="222"/>
    </row>
    <row r="26" spans="4:5" x14ac:dyDescent="0.25">
      <c r="D26" s="88"/>
      <c r="E26" s="2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9" sqref="B9"/>
    </sheetView>
  </sheetViews>
  <sheetFormatPr defaultColWidth="9.109375" defaultRowHeight="13.2" x14ac:dyDescent="0.25"/>
  <cols>
    <col min="1" max="1" width="9.109375" style="62"/>
    <col min="2" max="2" width="12" style="62" bestFit="1" customWidth="1"/>
    <col min="3" max="4" width="9.109375" style="62"/>
    <col min="5" max="5" width="12.44140625" style="62" bestFit="1" customWidth="1"/>
    <col min="6" max="6" width="9.109375" style="62"/>
    <col min="7" max="7" width="11.44140625" style="62" bestFit="1" customWidth="1"/>
    <col min="8" max="16384" width="9.109375" style="62"/>
  </cols>
  <sheetData>
    <row r="1" spans="1:3" x14ac:dyDescent="0.25">
      <c r="A1" s="157" t="s">
        <v>140</v>
      </c>
      <c r="B1" s="230">
        <f>1.957*10^(-9)*3600*0.7</f>
        <v>4.9316400000000006E-6</v>
      </c>
      <c r="C1" s="177" t="s">
        <v>141</v>
      </c>
    </row>
    <row r="2" spans="1:3" x14ac:dyDescent="0.25">
      <c r="A2" s="123" t="s">
        <v>142</v>
      </c>
      <c r="B2" s="180">
        <f>1.912*10^(-9)*3600*0.7</f>
        <v>4.8182400000000001E-6</v>
      </c>
      <c r="C2" s="176" t="s">
        <v>141</v>
      </c>
    </row>
    <row r="3" spans="1:3" x14ac:dyDescent="0.25">
      <c r="A3" s="123" t="s">
        <v>143</v>
      </c>
      <c r="B3" s="180">
        <f>1.902*10^(-9)*3600*0.7</f>
        <v>4.7930399999999991E-6</v>
      </c>
      <c r="C3" s="176" t="s">
        <v>141</v>
      </c>
    </row>
    <row r="4" spans="1:3" x14ac:dyDescent="0.25">
      <c r="A4" s="123" t="s">
        <v>144</v>
      </c>
      <c r="B4" s="180">
        <f>2.1*10^(-9)*3600*0.7</f>
        <v>5.2920000000000003E-6</v>
      </c>
      <c r="C4" s="176" t="s">
        <v>141</v>
      </c>
    </row>
    <row r="5" spans="1:3" x14ac:dyDescent="0.25">
      <c r="A5" s="123" t="s">
        <v>145</v>
      </c>
      <c r="B5" s="180">
        <f>1.92*10^(-9)*3600*0.7</f>
        <v>4.8384000000000001E-6</v>
      </c>
      <c r="C5" s="176" t="s">
        <v>141</v>
      </c>
    </row>
    <row r="6" spans="1:3" x14ac:dyDescent="0.25">
      <c r="A6" s="123" t="s">
        <v>146</v>
      </c>
      <c r="B6" s="180">
        <f>1.385*10^(-9)*3600*0.7</f>
        <v>3.4902000000000001E-6</v>
      </c>
      <c r="C6" s="176" t="s">
        <v>141</v>
      </c>
    </row>
    <row r="7" spans="1:3" ht="13.8" thickBot="1" x14ac:dyDescent="0.3">
      <c r="A7" s="138" t="s">
        <v>147</v>
      </c>
      <c r="B7" s="178">
        <f>1.334*10^(-9)*3600*0.7</f>
        <v>3.3616800000000002E-6</v>
      </c>
      <c r="C7" s="179" t="s">
        <v>141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D14" sqref="D14"/>
    </sheetView>
  </sheetViews>
  <sheetFormatPr defaultColWidth="11.44140625" defaultRowHeight="13.2" x14ac:dyDescent="0.25"/>
  <sheetData>
    <row r="1" spans="1:3" x14ac:dyDescent="0.25">
      <c r="A1" s="181" t="s">
        <v>148</v>
      </c>
      <c r="B1" s="231">
        <v>9.9999999999999995E-7</v>
      </c>
      <c r="C1" s="154" t="s">
        <v>149</v>
      </c>
    </row>
    <row r="2" spans="1:3" x14ac:dyDescent="0.25">
      <c r="A2" s="182" t="s">
        <v>150</v>
      </c>
      <c r="B2" s="221">
        <v>0.5</v>
      </c>
      <c r="C2" s="156" t="s">
        <v>151</v>
      </c>
    </row>
    <row r="3" spans="1:3" x14ac:dyDescent="0.25">
      <c r="A3" s="182" t="s">
        <v>152</v>
      </c>
      <c r="B3" s="221">
        <v>0.5</v>
      </c>
      <c r="C3" s="156" t="s">
        <v>151</v>
      </c>
    </row>
    <row r="4" spans="1:3" x14ac:dyDescent="0.25">
      <c r="A4" s="182" t="s">
        <v>153</v>
      </c>
      <c r="B4" s="221">
        <v>0.5</v>
      </c>
      <c r="C4" s="156" t="s">
        <v>151</v>
      </c>
    </row>
    <row r="5" spans="1:3" x14ac:dyDescent="0.25">
      <c r="A5" s="182" t="s">
        <v>154</v>
      </c>
      <c r="B5" s="221">
        <v>0.5</v>
      </c>
      <c r="C5" s="156" t="s">
        <v>151</v>
      </c>
    </row>
    <row r="6" spans="1:3" x14ac:dyDescent="0.25">
      <c r="A6" s="182" t="s">
        <v>155</v>
      </c>
      <c r="B6" s="221">
        <v>0.5</v>
      </c>
      <c r="C6" s="156" t="s">
        <v>151</v>
      </c>
    </row>
    <row r="7" spans="1:3" x14ac:dyDescent="0.25">
      <c r="A7" s="182" t="s">
        <v>156</v>
      </c>
      <c r="B7" s="221">
        <v>0.5</v>
      </c>
      <c r="C7" s="156" t="s">
        <v>151</v>
      </c>
    </row>
    <row r="8" spans="1:3" ht="13.8" thickBot="1" x14ac:dyDescent="0.3">
      <c r="A8" s="183" t="s">
        <v>157</v>
      </c>
      <c r="B8" s="232">
        <v>0.5</v>
      </c>
      <c r="C8" s="171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N39"/>
  <sheetViews>
    <sheetView topLeftCell="H1" zoomScale="70" zoomScaleNormal="70" zoomScalePageLayoutView="125" workbookViewId="0">
      <selection activeCell="I3" sqref="I3:I16"/>
    </sheetView>
  </sheetViews>
  <sheetFormatPr defaultColWidth="8.88671875" defaultRowHeight="14.4" x14ac:dyDescent="0.3"/>
  <cols>
    <col min="1" max="1" width="2.5546875" style="1" customWidth="1"/>
    <col min="2" max="2" width="46.88671875" style="1" customWidth="1"/>
    <col min="3" max="3" width="24.44140625" style="1" customWidth="1"/>
    <col min="4" max="5" width="18.88671875" style="1" customWidth="1"/>
    <col min="6" max="6" width="7.88671875" style="1" customWidth="1"/>
    <col min="7" max="7" width="8" style="2" customWidth="1"/>
    <col min="8" max="8" width="8.88671875" style="1"/>
    <col min="9" max="9" width="15" style="1" customWidth="1"/>
    <col min="10" max="10" width="15.5546875" style="1" customWidth="1"/>
    <col min="11" max="11" width="6.109375" style="1" customWidth="1"/>
    <col min="12" max="12" width="4.88671875" style="1" customWidth="1"/>
    <col min="13" max="14" width="4.44140625" style="1" customWidth="1"/>
    <col min="15" max="15" width="5" style="1" customWidth="1"/>
    <col min="16" max="17" width="4.5546875" style="1" customWidth="1"/>
    <col min="18" max="18" width="7.44140625" style="1" customWidth="1"/>
    <col min="19" max="20" width="12.88671875" style="1" customWidth="1"/>
    <col min="21" max="21" width="15.5546875" style="1" customWidth="1"/>
    <col min="22" max="22" width="11.5546875" style="1" customWidth="1"/>
    <col min="23" max="24" width="12.44140625" style="1" customWidth="1"/>
    <col min="25" max="25" width="15.44140625" style="1" customWidth="1"/>
    <col min="26" max="26" width="11.44140625" style="1" customWidth="1"/>
    <col min="27" max="28" width="12.5546875" style="1" customWidth="1"/>
    <col min="29" max="29" width="15.5546875" style="1" customWidth="1"/>
    <col min="30" max="30" width="12.44140625" style="1" customWidth="1"/>
    <col min="31" max="32" width="12.5546875" style="1" customWidth="1"/>
    <col min="33" max="33" width="15.5546875" style="1" customWidth="1"/>
    <col min="34" max="34" width="12.44140625" style="1" customWidth="1"/>
    <col min="35" max="36" width="8.88671875" style="1"/>
    <col min="37" max="37" width="14.88671875" style="1" customWidth="1"/>
    <col min="38" max="16384" width="8.88671875" style="1"/>
  </cols>
  <sheetData>
    <row r="2" spans="2:40" ht="21.75" customHeight="1" x14ac:dyDescent="0.3">
      <c r="S2" s="241" t="s">
        <v>0</v>
      </c>
      <c r="T2" s="241"/>
      <c r="U2" s="241"/>
      <c r="V2" s="241"/>
      <c r="W2" s="241" t="s">
        <v>1</v>
      </c>
      <c r="X2" s="241"/>
      <c r="Y2" s="241"/>
      <c r="Z2" s="241"/>
      <c r="AA2" s="241" t="s">
        <v>2</v>
      </c>
      <c r="AB2" s="241"/>
      <c r="AC2" s="241"/>
      <c r="AD2" s="241"/>
      <c r="AE2" s="241" t="s">
        <v>3</v>
      </c>
      <c r="AF2" s="241"/>
      <c r="AG2" s="241"/>
      <c r="AH2" s="241"/>
      <c r="AK2" s="3" t="s">
        <v>4</v>
      </c>
      <c r="AL2" s="4" t="s">
        <v>5</v>
      </c>
      <c r="AM2" s="4" t="s">
        <v>6</v>
      </c>
      <c r="AN2" s="5" t="s">
        <v>7</v>
      </c>
    </row>
    <row r="3" spans="2:40" ht="19.2" x14ac:dyDescent="0.4">
      <c r="B3" s="6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I3" s="10" t="s">
        <v>14</v>
      </c>
      <c r="J3" s="11" t="s">
        <v>15</v>
      </c>
      <c r="K3" s="12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5" t="s">
        <v>24</v>
      </c>
      <c r="T3" s="16" t="s">
        <v>25</v>
      </c>
      <c r="U3" s="16" t="s">
        <v>26</v>
      </c>
      <c r="V3" s="17" t="s">
        <v>27</v>
      </c>
      <c r="W3" s="15" t="s">
        <v>24</v>
      </c>
      <c r="X3" s="16" t="s">
        <v>25</v>
      </c>
      <c r="Y3" s="16" t="s">
        <v>26</v>
      </c>
      <c r="Z3" s="17" t="s">
        <v>27</v>
      </c>
      <c r="AA3" s="15" t="s">
        <v>24</v>
      </c>
      <c r="AB3" s="16" t="s">
        <v>25</v>
      </c>
      <c r="AC3" s="16" t="s">
        <v>26</v>
      </c>
      <c r="AD3" s="17" t="s">
        <v>27</v>
      </c>
      <c r="AE3" s="15" t="s">
        <v>24</v>
      </c>
      <c r="AF3" s="16" t="s">
        <v>25</v>
      </c>
      <c r="AG3" s="16" t="s">
        <v>26</v>
      </c>
      <c r="AH3" s="17" t="s">
        <v>27</v>
      </c>
      <c r="AI3" s="168" t="s">
        <v>28</v>
      </c>
      <c r="AJ3" s="170"/>
      <c r="AK3" s="18" t="s">
        <v>29</v>
      </c>
      <c r="AL3" s="19" t="s">
        <v>30</v>
      </c>
      <c r="AM3" s="19">
        <v>96.484999999999999</v>
      </c>
      <c r="AN3" s="19" t="s">
        <v>31</v>
      </c>
    </row>
    <row r="4" spans="2:40" ht="19.2" x14ac:dyDescent="0.4">
      <c r="B4" s="6"/>
      <c r="C4" s="7"/>
      <c r="D4" s="7"/>
      <c r="E4" s="7"/>
      <c r="F4" s="8"/>
      <c r="G4" s="9"/>
      <c r="I4" s="29" t="s">
        <v>32</v>
      </c>
      <c r="J4" s="33">
        <v>-79.400000000000006</v>
      </c>
      <c r="K4" s="32">
        <v>-3</v>
      </c>
      <c r="L4" s="31">
        <v>0</v>
      </c>
      <c r="M4" s="31">
        <v>4</v>
      </c>
      <c r="N4" s="31">
        <v>0</v>
      </c>
      <c r="O4" s="31">
        <v>1</v>
      </c>
      <c r="P4" s="31">
        <v>0</v>
      </c>
      <c r="Q4" s="31">
        <v>0</v>
      </c>
      <c r="R4" s="31">
        <v>1</v>
      </c>
      <c r="S4" s="26">
        <v>0</v>
      </c>
      <c r="T4" s="27">
        <v>0</v>
      </c>
      <c r="U4" s="27">
        <v>0</v>
      </c>
      <c r="V4" s="28">
        <v>0</v>
      </c>
      <c r="W4" s="26">
        <v>0</v>
      </c>
      <c r="X4" s="27">
        <v>0</v>
      </c>
      <c r="Y4" s="27">
        <v>0</v>
      </c>
      <c r="Z4" s="28">
        <v>0</v>
      </c>
      <c r="AA4" s="26">
        <v>0</v>
      </c>
      <c r="AB4" s="27">
        <v>0</v>
      </c>
      <c r="AC4" s="27">
        <v>0</v>
      </c>
      <c r="AD4" s="28">
        <v>0</v>
      </c>
      <c r="AE4" s="26">
        <v>0</v>
      </c>
      <c r="AF4" s="27">
        <v>0</v>
      </c>
      <c r="AG4" s="27">
        <v>0</v>
      </c>
      <c r="AH4" s="28">
        <f>AF4+AG4*(-$AF$15/$AG$15)</f>
        <v>0</v>
      </c>
      <c r="AI4" s="28">
        <v>0.2</v>
      </c>
      <c r="AJ4" s="170"/>
      <c r="AK4" s="18"/>
      <c r="AL4" s="19"/>
      <c r="AM4" s="19"/>
      <c r="AN4" s="19"/>
    </row>
    <row r="5" spans="2:40" ht="18.600000000000001" x14ac:dyDescent="0.4">
      <c r="B5" s="20" t="s">
        <v>33</v>
      </c>
      <c r="C5" s="21">
        <f>S27</f>
        <v>-307.36384335522246</v>
      </c>
      <c r="D5" s="21">
        <f>V27</f>
        <v>300.12884335522256</v>
      </c>
      <c r="E5" s="22">
        <v>3500</v>
      </c>
      <c r="F5" s="21">
        <f>(D5+E5)/(-C5)-V5</f>
        <v>13.263617014521088</v>
      </c>
      <c r="G5" s="23">
        <f>1/F5</f>
        <v>7.5394215537525996E-2</v>
      </c>
      <c r="I5" s="29" t="s">
        <v>34</v>
      </c>
      <c r="J5" s="33">
        <v>-26.57</v>
      </c>
      <c r="K5" s="32">
        <v>-3</v>
      </c>
      <c r="L5" s="31">
        <v>0</v>
      </c>
      <c r="M5" s="31">
        <v>3</v>
      </c>
      <c r="N5" s="31">
        <v>0</v>
      </c>
      <c r="O5" s="31">
        <v>1</v>
      </c>
      <c r="P5" s="31">
        <v>0</v>
      </c>
      <c r="Q5" s="31">
        <v>0</v>
      </c>
      <c r="R5" s="31">
        <v>0</v>
      </c>
      <c r="S5" s="26">
        <v>-1</v>
      </c>
      <c r="T5" s="27">
        <v>-0.2</v>
      </c>
      <c r="U5" s="27">
        <v>-1</v>
      </c>
      <c r="V5" s="28">
        <f>T5+U5*(-$T$15/$U$15)</f>
        <v>-0.90000000000000013</v>
      </c>
      <c r="W5" s="26">
        <v>0</v>
      </c>
      <c r="X5" s="27">
        <v>0</v>
      </c>
      <c r="Y5" s="27">
        <v>0</v>
      </c>
      <c r="Z5" s="28">
        <f>X5+Y5*(-$X$15/$Y$15)</f>
        <v>0</v>
      </c>
      <c r="AA5" s="26">
        <f t="shared" ref="AA5:AA16" si="0">S5+W5</f>
        <v>-1</v>
      </c>
      <c r="AB5" s="27">
        <v>-0.2</v>
      </c>
      <c r="AC5" s="27">
        <v>-1</v>
      </c>
      <c r="AD5" s="28">
        <f>AB5+AC5*(-$AB$15/$AC$15)</f>
        <v>-0.72500000000000009</v>
      </c>
      <c r="AE5" s="26">
        <v>-1</v>
      </c>
      <c r="AF5" s="27">
        <v>-0.2</v>
      </c>
      <c r="AG5" s="27">
        <v>0</v>
      </c>
      <c r="AH5" s="28">
        <f>AF5+AG5*(-$AF$15/$AG$15)</f>
        <v>-0.2</v>
      </c>
      <c r="AI5" s="28">
        <v>0</v>
      </c>
      <c r="AJ5" s="169"/>
      <c r="AK5" s="18" t="s">
        <v>35</v>
      </c>
      <c r="AL5" s="19" t="s">
        <v>36</v>
      </c>
      <c r="AM5" s="19">
        <v>8.3140000000000002E-3</v>
      </c>
      <c r="AN5" s="19" t="s">
        <v>37</v>
      </c>
    </row>
    <row r="6" spans="2:40" ht="19.2" x14ac:dyDescent="0.4">
      <c r="B6" s="20" t="s">
        <v>1</v>
      </c>
      <c r="C6" s="21">
        <f>W27</f>
        <v>-87.34</v>
      </c>
      <c r="D6" s="21">
        <f>Z27</f>
        <v>304.9798433552225</v>
      </c>
      <c r="E6" s="22">
        <v>3500</v>
      </c>
      <c r="F6" s="21">
        <f>(D6+E6)/(-C6)-Z6</f>
        <v>46.465145905143373</v>
      </c>
      <c r="G6" s="23">
        <f t="shared" ref="G6:G7" si="1">1/F6</f>
        <v>2.1521507799447302E-2</v>
      </c>
      <c r="I6" s="29" t="s">
        <v>38</v>
      </c>
      <c r="J6" s="24">
        <v>-32.200000000000003</v>
      </c>
      <c r="K6" s="29">
        <v>3</v>
      </c>
      <c r="L6" s="25">
        <v>0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6">
        <v>1</v>
      </c>
      <c r="T6" s="27">
        <v>0</v>
      </c>
      <c r="U6" s="27">
        <v>1</v>
      </c>
      <c r="V6" s="28">
        <f>T6+U6*(-$T$15/$U$15)</f>
        <v>0.70000000000000007</v>
      </c>
      <c r="W6" s="26">
        <v>-1</v>
      </c>
      <c r="X6" s="27">
        <v>-0.2</v>
      </c>
      <c r="Y6" s="27">
        <v>-1</v>
      </c>
      <c r="Z6" s="28">
        <f>X6+Y6*(-$X$15/$Y$15)</f>
        <v>-2.9000000000000004</v>
      </c>
      <c r="AA6" s="26">
        <f t="shared" si="0"/>
        <v>0</v>
      </c>
      <c r="AB6" s="27">
        <v>0</v>
      </c>
      <c r="AC6" s="27">
        <v>0</v>
      </c>
      <c r="AD6" s="28">
        <f>AB6+AC6*(-$AB$15/$AC$15)</f>
        <v>0</v>
      </c>
      <c r="AE6" s="26">
        <f t="shared" ref="AE6:AE9" si="2">W6+AA6</f>
        <v>-1</v>
      </c>
      <c r="AF6" s="27">
        <v>0</v>
      </c>
      <c r="AG6" s="27">
        <v>-1</v>
      </c>
      <c r="AH6" s="28">
        <f t="shared" ref="AH6:AI16" si="3">AF6+AG6*(-$AF$15/$AG$15)</f>
        <v>-2.1</v>
      </c>
      <c r="AI6" s="28">
        <v>0</v>
      </c>
      <c r="AJ6" s="169"/>
      <c r="AK6" s="30" t="s">
        <v>39</v>
      </c>
      <c r="AL6" s="19" t="s">
        <v>40</v>
      </c>
      <c r="AM6" s="31">
        <v>298.14999999999998</v>
      </c>
      <c r="AN6" s="31" t="s">
        <v>41</v>
      </c>
    </row>
    <row r="7" spans="2:40" ht="19.2" x14ac:dyDescent="0.4">
      <c r="B7" s="20" t="s">
        <v>42</v>
      </c>
      <c r="C7" s="21">
        <f>AA27</f>
        <v>-354.75</v>
      </c>
      <c r="D7" s="21">
        <f>AD27</f>
        <v>301.07209335522253</v>
      </c>
      <c r="E7" s="22">
        <v>3500</v>
      </c>
      <c r="F7" s="21">
        <f>(D7+E7)/(-C7)-AD5</f>
        <v>11.439790960832198</v>
      </c>
      <c r="G7" s="23">
        <f t="shared" si="1"/>
        <v>8.741418470178533E-2</v>
      </c>
      <c r="I7" s="29" t="s">
        <v>43</v>
      </c>
      <c r="J7" s="24">
        <v>-111.34</v>
      </c>
      <c r="K7" s="29">
        <v>5</v>
      </c>
      <c r="L7" s="25">
        <v>0</v>
      </c>
      <c r="M7" s="25">
        <v>1</v>
      </c>
      <c r="N7" s="25">
        <v>3</v>
      </c>
      <c r="O7" s="25">
        <v>1</v>
      </c>
      <c r="P7" s="25">
        <v>0</v>
      </c>
      <c r="Q7" s="25">
        <v>0</v>
      </c>
      <c r="R7" s="25">
        <v>0</v>
      </c>
      <c r="S7" s="26">
        <v>0</v>
      </c>
      <c r="T7" s="27">
        <v>0</v>
      </c>
      <c r="U7" s="27">
        <v>0</v>
      </c>
      <c r="V7" s="28">
        <f>T7+U7*(-$T$15/$U$15)</f>
        <v>0</v>
      </c>
      <c r="W7" s="26">
        <v>1</v>
      </c>
      <c r="X7" s="27">
        <v>0</v>
      </c>
      <c r="Y7" s="27">
        <v>1</v>
      </c>
      <c r="Z7" s="28">
        <f>X7+Y7*(-$X$15/$Y$15)</f>
        <v>2.7</v>
      </c>
      <c r="AA7" s="26">
        <f t="shared" si="0"/>
        <v>1</v>
      </c>
      <c r="AB7" s="27">
        <v>0</v>
      </c>
      <c r="AC7" s="27">
        <v>1</v>
      </c>
      <c r="AD7" s="28">
        <f>AB7+AC7*(-$AB$15/$AC$15)</f>
        <v>0.52500000000000002</v>
      </c>
      <c r="AE7" s="26">
        <v>0</v>
      </c>
      <c r="AF7" s="27">
        <v>0</v>
      </c>
      <c r="AG7" s="27">
        <v>1</v>
      </c>
      <c r="AH7" s="28">
        <f t="shared" si="3"/>
        <v>2.1</v>
      </c>
      <c r="AI7" s="28">
        <v>0</v>
      </c>
      <c r="AJ7" s="169"/>
      <c r="AK7" s="27"/>
      <c r="AL7" s="27"/>
      <c r="AM7" s="27"/>
      <c r="AN7" s="27"/>
    </row>
    <row r="8" spans="2:40" ht="18.600000000000001" x14ac:dyDescent="0.4">
      <c r="B8" s="20" t="s">
        <v>3</v>
      </c>
      <c r="C8" s="21">
        <f>AE27</f>
        <v>-415.59000000000003</v>
      </c>
      <c r="D8" s="21">
        <f>AH27</f>
        <v>303.90184335522252</v>
      </c>
      <c r="E8" s="22">
        <v>3500</v>
      </c>
      <c r="F8" s="21">
        <f>(D8+E8)/(-C8)-AD6</f>
        <v>9.1530158169234639</v>
      </c>
      <c r="G8" s="23">
        <f t="shared" ref="G8" si="4">1/F8</f>
        <v>0.10925360777275732</v>
      </c>
      <c r="I8" s="29" t="s">
        <v>44</v>
      </c>
      <c r="J8" s="24">
        <v>16.399999999999999</v>
      </c>
      <c r="K8" s="29">
        <v>0</v>
      </c>
      <c r="L8" s="25">
        <v>0</v>
      </c>
      <c r="M8" s="25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6">
        <v>-1.5</v>
      </c>
      <c r="T8" s="27">
        <v>0</v>
      </c>
      <c r="U8" s="27">
        <v>0</v>
      </c>
      <c r="V8" s="28">
        <f>T8+U8*(-$T$15/$U$15)</f>
        <v>0</v>
      </c>
      <c r="W8" s="26">
        <v>-0.5</v>
      </c>
      <c r="X8" s="27">
        <v>0</v>
      </c>
      <c r="Y8" s="27">
        <v>0</v>
      </c>
      <c r="Z8" s="28">
        <f>X8+Y8*(-$X$15/$Y$15)</f>
        <v>0</v>
      </c>
      <c r="AA8" s="26">
        <f t="shared" ref="AA8" si="5">S8+W8</f>
        <v>-2</v>
      </c>
      <c r="AB8" s="27">
        <v>0</v>
      </c>
      <c r="AC8" s="27">
        <v>0</v>
      </c>
      <c r="AD8" s="28">
        <f>AB8+AC8*(-$AB$15/$AC$15)</f>
        <v>0</v>
      </c>
      <c r="AE8" s="26">
        <v>0</v>
      </c>
      <c r="AF8" s="27">
        <v>0</v>
      </c>
      <c r="AG8" s="27">
        <v>0</v>
      </c>
      <c r="AH8" s="28">
        <f t="shared" si="3"/>
        <v>0</v>
      </c>
      <c r="AI8" s="28">
        <f t="shared" si="3"/>
        <v>0</v>
      </c>
      <c r="AJ8" s="169"/>
    </row>
    <row r="9" spans="2:40" ht="19.2" x14ac:dyDescent="0.4">
      <c r="I9" s="35" t="s">
        <v>45</v>
      </c>
      <c r="J9" s="24">
        <v>-586.70000000000005</v>
      </c>
      <c r="K9" s="29">
        <v>4</v>
      </c>
      <c r="L9" s="25">
        <v>1</v>
      </c>
      <c r="M9" s="25">
        <v>1</v>
      </c>
      <c r="N9" s="25">
        <v>3</v>
      </c>
      <c r="O9" s="25">
        <v>0</v>
      </c>
      <c r="P9" s="25">
        <v>0</v>
      </c>
      <c r="Q9" s="25">
        <v>0</v>
      </c>
      <c r="R9" s="25">
        <v>-1</v>
      </c>
      <c r="S9" s="26">
        <v>0</v>
      </c>
      <c r="T9" s="27">
        <v>-1</v>
      </c>
      <c r="U9" s="27">
        <v>0</v>
      </c>
      <c r="V9" s="28">
        <f>T9+U9*(-$T$15/$U$15)</f>
        <v>-1</v>
      </c>
      <c r="W9" s="26">
        <v>0</v>
      </c>
      <c r="X9" s="27">
        <v>-1</v>
      </c>
      <c r="Y9" s="27">
        <v>0</v>
      </c>
      <c r="Z9" s="28">
        <f>X9+Y9*(-$X$15/$Y$15)</f>
        <v>-1</v>
      </c>
      <c r="AA9" s="26">
        <f t="shared" si="0"/>
        <v>0</v>
      </c>
      <c r="AB9" s="27">
        <v>-1</v>
      </c>
      <c r="AC9" s="27">
        <v>0</v>
      </c>
      <c r="AD9" s="28">
        <f>AB9+AC9*(-$AB$15/$AC$15)</f>
        <v>-1</v>
      </c>
      <c r="AE9" s="26">
        <f t="shared" si="2"/>
        <v>0</v>
      </c>
      <c r="AF9" s="27">
        <v>-1</v>
      </c>
      <c r="AG9" s="27">
        <v>0</v>
      </c>
      <c r="AH9" s="28">
        <f t="shared" si="3"/>
        <v>-1</v>
      </c>
      <c r="AI9" s="28">
        <v>1</v>
      </c>
      <c r="AJ9" s="169"/>
    </row>
    <row r="10" spans="2:40" ht="18.600000000000001" x14ac:dyDescent="0.4">
      <c r="I10" s="35" t="s">
        <v>46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2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1</v>
      </c>
      <c r="AF10" s="27">
        <v>0</v>
      </c>
      <c r="AG10" s="27">
        <v>0</v>
      </c>
      <c r="AH10" s="28">
        <f t="shared" si="3"/>
        <v>0</v>
      </c>
      <c r="AI10" s="28">
        <v>0</v>
      </c>
      <c r="AJ10" s="169"/>
    </row>
    <row r="11" spans="2:40" ht="18.600000000000001" x14ac:dyDescent="0.4">
      <c r="I11" s="35" t="s">
        <v>47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69"/>
    </row>
    <row r="12" spans="2:40" ht="18.600000000000001" x14ac:dyDescent="0.4">
      <c r="I12" s="35" t="s">
        <v>48</v>
      </c>
      <c r="J12" s="24">
        <v>0</v>
      </c>
      <c r="K12" s="29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6">
        <v>0</v>
      </c>
      <c r="T12" s="27">
        <v>0</v>
      </c>
      <c r="U12" s="27">
        <v>0</v>
      </c>
      <c r="V12" s="28">
        <v>0</v>
      </c>
      <c r="W12" s="26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0</v>
      </c>
      <c r="AC12" s="27">
        <v>0</v>
      </c>
      <c r="AD12" s="28">
        <v>0</v>
      </c>
      <c r="AE12" s="26">
        <v>0</v>
      </c>
      <c r="AF12" s="27">
        <v>0</v>
      </c>
      <c r="AG12" s="27">
        <v>0</v>
      </c>
      <c r="AH12" s="28">
        <f t="shared" si="3"/>
        <v>0</v>
      </c>
      <c r="AI12" s="28">
        <f t="shared" si="3"/>
        <v>0</v>
      </c>
      <c r="AJ12" s="169"/>
    </row>
    <row r="13" spans="2:40" ht="20.399999999999999" x14ac:dyDescent="0.4">
      <c r="B13" s="61" t="s">
        <v>49</v>
      </c>
      <c r="C13" s="60">
        <v>16.691904999999998</v>
      </c>
      <c r="I13" s="29" t="s">
        <v>50</v>
      </c>
      <c r="J13" s="24">
        <v>-237.18</v>
      </c>
      <c r="K13" s="29">
        <v>-2</v>
      </c>
      <c r="L13" s="25">
        <v>0</v>
      </c>
      <c r="M13" s="25">
        <v>2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6">
        <v>1</v>
      </c>
      <c r="T13" s="27">
        <v>2.5</v>
      </c>
      <c r="U13" s="27">
        <v>-2</v>
      </c>
      <c r="V13" s="28">
        <f>T13+U13*(-$T$15/$U$15)</f>
        <v>1.0999999999999999</v>
      </c>
      <c r="W13" s="26">
        <v>0</v>
      </c>
      <c r="X13" s="27">
        <v>2.9</v>
      </c>
      <c r="Y13" s="27">
        <v>-1</v>
      </c>
      <c r="Z13" s="28">
        <f>X13+Y13*(-$X$15/$Y$15)</f>
        <v>0.19999999999999973</v>
      </c>
      <c r="AA13" s="26">
        <f t="shared" si="0"/>
        <v>1</v>
      </c>
      <c r="AB13" s="27">
        <v>2.5</v>
      </c>
      <c r="AC13" s="27">
        <v>-3</v>
      </c>
      <c r="AD13" s="28">
        <f>AB13+AC13*(-$AB$15/$AC$15)</f>
        <v>0.92499999999999982</v>
      </c>
      <c r="AE13" s="26">
        <v>2</v>
      </c>
      <c r="AF13" s="27">
        <v>2.5</v>
      </c>
      <c r="AG13" s="27">
        <v>-1</v>
      </c>
      <c r="AH13" s="28">
        <f t="shared" si="3"/>
        <v>0.39999999999999991</v>
      </c>
      <c r="AI13" s="28">
        <f>-2.5</f>
        <v>-2.5</v>
      </c>
      <c r="AJ13" s="169"/>
    </row>
    <row r="14" spans="2:40" ht="18" x14ac:dyDescent="0.3">
      <c r="B14" s="31"/>
      <c r="E14" s="34"/>
      <c r="I14" s="29" t="s">
        <v>51</v>
      </c>
      <c r="J14" s="24">
        <v>0</v>
      </c>
      <c r="K14" s="29">
        <v>1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1</v>
      </c>
      <c r="S14" s="26">
        <v>1</v>
      </c>
      <c r="T14" s="27">
        <v>-5.2</v>
      </c>
      <c r="U14" s="27">
        <v>6</v>
      </c>
      <c r="V14" s="28">
        <f>T14+U14*(-$T$15/$U$15)</f>
        <v>-1</v>
      </c>
      <c r="W14" s="26">
        <v>0</v>
      </c>
      <c r="X14" s="27">
        <v>-6.4</v>
      </c>
      <c r="Y14" s="27">
        <v>2</v>
      </c>
      <c r="Z14" s="28">
        <f>X14+Y14*(-$X$15/$Y$15)</f>
        <v>-1</v>
      </c>
      <c r="AA14" s="26">
        <v>0</v>
      </c>
      <c r="AB14" s="27">
        <v>-5.2</v>
      </c>
      <c r="AC14" s="27">
        <v>8</v>
      </c>
      <c r="AD14" s="28">
        <f>AB14+AC14*(-$AB$15/$AC$15)</f>
        <v>-1</v>
      </c>
      <c r="AE14" s="26">
        <v>0</v>
      </c>
      <c r="AF14" s="27">
        <v>-5.2</v>
      </c>
      <c r="AG14" s="27">
        <v>2</v>
      </c>
      <c r="AH14" s="28">
        <f t="shared" si="3"/>
        <v>-1</v>
      </c>
      <c r="AI14" s="28">
        <v>5</v>
      </c>
      <c r="AJ14" s="169"/>
    </row>
    <row r="15" spans="2:40" ht="18" x14ac:dyDescent="0.3">
      <c r="B15" s="31"/>
      <c r="E15" s="34"/>
      <c r="I15" s="29" t="s">
        <v>52</v>
      </c>
      <c r="J15" s="24">
        <v>0</v>
      </c>
      <c r="K15" s="29">
        <v>-1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-1</v>
      </c>
      <c r="S15" s="26">
        <v>0</v>
      </c>
      <c r="T15" s="27">
        <v>-4.2</v>
      </c>
      <c r="U15" s="27">
        <v>6</v>
      </c>
      <c r="V15" s="28">
        <f>T15+U15*(-$T$15/$U$15)</f>
        <v>0</v>
      </c>
      <c r="W15" s="26">
        <v>0</v>
      </c>
      <c r="X15" s="27">
        <v>-5.4</v>
      </c>
      <c r="Y15" s="27">
        <v>2</v>
      </c>
      <c r="Z15" s="28">
        <f>X15+Y15*(-$X$15/$Y$15)</f>
        <v>0</v>
      </c>
      <c r="AA15" s="26">
        <f t="shared" si="0"/>
        <v>0</v>
      </c>
      <c r="AB15" s="27">
        <v>-4.2</v>
      </c>
      <c r="AC15" s="27">
        <v>8</v>
      </c>
      <c r="AD15" s="28">
        <f>AB15+AC15*(-$AB$15/$AC$15)</f>
        <v>0</v>
      </c>
      <c r="AE15" s="26">
        <f t="shared" ref="AE15:AE16" si="6">W15+AA15</f>
        <v>0</v>
      </c>
      <c r="AF15" s="27">
        <v>-4.2</v>
      </c>
      <c r="AG15" s="27">
        <v>2</v>
      </c>
      <c r="AH15" s="28">
        <f t="shared" si="3"/>
        <v>0</v>
      </c>
      <c r="AI15" s="28">
        <v>4.2</v>
      </c>
      <c r="AJ15" s="169"/>
    </row>
    <row r="16" spans="2:40" ht="19.8" thickBot="1" x14ac:dyDescent="0.45">
      <c r="B16" s="6" t="s">
        <v>8</v>
      </c>
      <c r="C16" s="7" t="s">
        <v>9</v>
      </c>
      <c r="D16" s="7" t="s">
        <v>10</v>
      </c>
      <c r="E16" s="7" t="s">
        <v>11</v>
      </c>
      <c r="F16" s="8" t="s">
        <v>12</v>
      </c>
      <c r="G16" s="9" t="s">
        <v>13</v>
      </c>
      <c r="I16" s="37" t="s">
        <v>53</v>
      </c>
      <c r="J16" s="38">
        <v>-67</v>
      </c>
      <c r="K16" s="37">
        <v>-0.2</v>
      </c>
      <c r="L16" s="39">
        <v>1</v>
      </c>
      <c r="M16" s="39">
        <v>1.8</v>
      </c>
      <c r="N16" s="39">
        <v>0.5</v>
      </c>
      <c r="O16" s="39">
        <v>0.2</v>
      </c>
      <c r="P16" s="39">
        <v>0</v>
      </c>
      <c r="Q16" s="39">
        <v>0</v>
      </c>
      <c r="R16" s="39">
        <v>0</v>
      </c>
      <c r="S16" s="40">
        <v>0</v>
      </c>
      <c r="T16" s="41">
        <v>1</v>
      </c>
      <c r="U16" s="41">
        <v>0</v>
      </c>
      <c r="V16" s="42">
        <f>T16+U16*(-$T$15/$U$15)</f>
        <v>1</v>
      </c>
      <c r="W16" s="40">
        <v>0</v>
      </c>
      <c r="X16" s="41">
        <v>1</v>
      </c>
      <c r="Y16" s="41">
        <v>0</v>
      </c>
      <c r="Z16" s="42">
        <f>X16+Y16*(-$X$15/$Y$15)</f>
        <v>1</v>
      </c>
      <c r="AA16" s="41">
        <f t="shared" si="0"/>
        <v>0</v>
      </c>
      <c r="AB16" s="41">
        <v>1</v>
      </c>
      <c r="AC16" s="41">
        <v>0</v>
      </c>
      <c r="AD16" s="42">
        <f>AB16+AC16*(-$AB$15/$AC$15)</f>
        <v>1</v>
      </c>
      <c r="AE16" s="41">
        <f t="shared" si="6"/>
        <v>0</v>
      </c>
      <c r="AF16" s="41">
        <v>1</v>
      </c>
      <c r="AG16" s="41">
        <v>0</v>
      </c>
      <c r="AH16" s="42">
        <f t="shared" si="3"/>
        <v>1</v>
      </c>
      <c r="AI16" s="42">
        <v>-1</v>
      </c>
      <c r="AJ16" s="169"/>
    </row>
    <row r="17" spans="2:36" ht="15.6" x14ac:dyDescent="0.3">
      <c r="B17" s="20" t="s">
        <v>33</v>
      </c>
      <c r="C17" s="21">
        <v>-136.9</v>
      </c>
      <c r="D17" s="21">
        <f t="shared" ref="D17:E19" si="7">D5</f>
        <v>300.12884335522256</v>
      </c>
      <c r="E17" s="22">
        <f t="shared" si="7"/>
        <v>3500</v>
      </c>
      <c r="F17" s="21">
        <f>(D17+E17)/(-C17)-V5</f>
        <v>28.658428366363932</v>
      </c>
      <c r="G17" s="23">
        <f>1/F17</f>
        <v>3.4893748785390075E-2</v>
      </c>
      <c r="J17" s="242" t="s">
        <v>54</v>
      </c>
      <c r="K17" s="245" t="s">
        <v>55</v>
      </c>
      <c r="R17" s="43" t="s">
        <v>56</v>
      </c>
      <c r="S17" s="44">
        <f t="shared" ref="S17:AD17" si="8">SUMPRODUCT($L$5:$L$16,S5:S16)</f>
        <v>0</v>
      </c>
      <c r="T17" s="44">
        <f t="shared" si="8"/>
        <v>0</v>
      </c>
      <c r="U17" s="44">
        <f t="shared" si="8"/>
        <v>0</v>
      </c>
      <c r="V17" s="44">
        <f t="shared" si="8"/>
        <v>0</v>
      </c>
      <c r="W17" s="44">
        <f t="shared" si="8"/>
        <v>0</v>
      </c>
      <c r="X17" s="44">
        <f t="shared" si="8"/>
        <v>0</v>
      </c>
      <c r="Y17" s="44">
        <f t="shared" si="8"/>
        <v>0</v>
      </c>
      <c r="Z17" s="44">
        <f t="shared" si="8"/>
        <v>0</v>
      </c>
      <c r="AA17" s="44">
        <f t="shared" si="8"/>
        <v>0</v>
      </c>
      <c r="AB17" s="44">
        <f t="shared" si="8"/>
        <v>0</v>
      </c>
      <c r="AC17" s="44">
        <f t="shared" si="8"/>
        <v>0</v>
      </c>
      <c r="AD17" s="45">
        <f t="shared" si="8"/>
        <v>0</v>
      </c>
      <c r="AE17" s="44">
        <f>SUMPRODUCT($L$4:$L$16,AE4:AE16)</f>
        <v>0</v>
      </c>
      <c r="AF17" s="44">
        <f>SUMPRODUCT($L$4:$L$16,AF4:AF16)</f>
        <v>0</v>
      </c>
      <c r="AG17" s="44">
        <f>SUMPRODUCT($L$4:$L$16,AG4:AG16)</f>
        <v>0</v>
      </c>
      <c r="AH17" s="45">
        <f>SUMPRODUCT($L$4:$L$16,AH4:AH16)</f>
        <v>0</v>
      </c>
      <c r="AI17" s="45">
        <f>SUMPRODUCT($L$4:$L$16,AI4:AI16)</f>
        <v>0</v>
      </c>
      <c r="AJ17" s="27"/>
    </row>
    <row r="18" spans="2:36" ht="15.6" x14ac:dyDescent="0.3">
      <c r="B18" s="20" t="s">
        <v>1</v>
      </c>
      <c r="C18" s="21">
        <f>C6</f>
        <v>-87.34</v>
      </c>
      <c r="D18" s="21">
        <f t="shared" si="7"/>
        <v>304.9798433552225</v>
      </c>
      <c r="E18" s="22">
        <f t="shared" si="7"/>
        <v>3500</v>
      </c>
      <c r="F18" s="21">
        <f>(D18+E18)/(-C18)-Z6</f>
        <v>46.465145905143373</v>
      </c>
      <c r="G18" s="23">
        <f t="shared" ref="G18:G19" si="9">1/F18</f>
        <v>2.1521507799447302E-2</v>
      </c>
      <c r="J18" s="243"/>
      <c r="K18" s="246"/>
      <c r="R18" s="46" t="s">
        <v>57</v>
      </c>
      <c r="S18" s="44">
        <f t="shared" ref="S18:AD18" si="10">SUMPRODUCT($M$5:$M$16,S5:S16)</f>
        <v>1</v>
      </c>
      <c r="T18" s="44">
        <f t="shared" si="10"/>
        <v>-2.2204460492503131E-16</v>
      </c>
      <c r="U18" s="44">
        <f t="shared" si="10"/>
        <v>0</v>
      </c>
      <c r="V18" s="44">
        <f t="shared" si="10"/>
        <v>-2.2204460492503131E-16</v>
      </c>
      <c r="W18" s="44">
        <f t="shared" si="10"/>
        <v>0</v>
      </c>
      <c r="X18" s="44">
        <f t="shared" si="10"/>
        <v>-6.6613381477509392E-16</v>
      </c>
      <c r="Y18" s="44">
        <f t="shared" si="10"/>
        <v>0</v>
      </c>
      <c r="Z18" s="44">
        <f t="shared" si="10"/>
        <v>-6.6613381477509392E-16</v>
      </c>
      <c r="AA18" s="44">
        <f t="shared" si="10"/>
        <v>0</v>
      </c>
      <c r="AB18" s="44">
        <f t="shared" si="10"/>
        <v>-2.2204460492503131E-16</v>
      </c>
      <c r="AC18" s="44">
        <f t="shared" si="10"/>
        <v>0</v>
      </c>
      <c r="AD18" s="47">
        <f t="shared" si="10"/>
        <v>-6.6613381477509392E-16</v>
      </c>
      <c r="AE18" s="44">
        <f>SUMPRODUCT($M$4:$M$16,AE4:AE16)</f>
        <v>0</v>
      </c>
      <c r="AF18" s="44">
        <f>SUMPRODUCT($M$4:$M$16,AF4:AF16)</f>
        <v>-2.2204460492503131E-16</v>
      </c>
      <c r="AG18" s="44">
        <f t="shared" ref="AG18" si="11">SUMPRODUCT($M$5:$M$16,AG5:AG16)</f>
        <v>0</v>
      </c>
      <c r="AH18" s="47">
        <f>SUMPRODUCT($M$4:$M$16,AH4:AH16)</f>
        <v>-2.2204460492503131E-16</v>
      </c>
      <c r="AI18" s="47">
        <f>SUMPRODUCT($M$4:$M$16,AI4:AI16)</f>
        <v>-2.2204460492503131E-16</v>
      </c>
      <c r="AJ18" s="27"/>
    </row>
    <row r="19" spans="2:36" ht="15.6" x14ac:dyDescent="0.3">
      <c r="B19" s="20" t="s">
        <v>58</v>
      </c>
      <c r="C19" s="21">
        <f>C17+C18</f>
        <v>-224.24</v>
      </c>
      <c r="D19" s="21">
        <f t="shared" si="7"/>
        <v>301.07209335522253</v>
      </c>
      <c r="E19" s="22">
        <f t="shared" si="7"/>
        <v>3500</v>
      </c>
      <c r="F19" s="21">
        <f>(D19+E19)/(-C19)-AD5</f>
        <v>17.675910155883084</v>
      </c>
      <c r="G19" s="23">
        <f t="shared" si="9"/>
        <v>5.6574173051404053E-2</v>
      </c>
      <c r="J19" s="243"/>
      <c r="K19" s="246"/>
      <c r="R19" s="46" t="s">
        <v>59</v>
      </c>
      <c r="S19" s="44">
        <f t="shared" ref="S19:AD19" si="12">SUMPRODUCT($N$5:$N$16,S5:S16)</f>
        <v>0</v>
      </c>
      <c r="T19" s="44">
        <f t="shared" si="12"/>
        <v>0</v>
      </c>
      <c r="U19" s="44">
        <f t="shared" si="12"/>
        <v>0</v>
      </c>
      <c r="V19" s="44">
        <f t="shared" si="12"/>
        <v>0</v>
      </c>
      <c r="W19" s="44">
        <f t="shared" si="12"/>
        <v>0</v>
      </c>
      <c r="X19" s="44">
        <f t="shared" si="12"/>
        <v>0</v>
      </c>
      <c r="Y19" s="44">
        <f t="shared" si="12"/>
        <v>0</v>
      </c>
      <c r="Z19" s="44">
        <f t="shared" si="12"/>
        <v>4.4408920985006262E-16</v>
      </c>
      <c r="AA19" s="44">
        <f t="shared" si="12"/>
        <v>0</v>
      </c>
      <c r="AB19" s="44">
        <f t="shared" si="12"/>
        <v>0</v>
      </c>
      <c r="AC19" s="44">
        <f t="shared" si="12"/>
        <v>0</v>
      </c>
      <c r="AD19" s="47">
        <f t="shared" si="12"/>
        <v>0</v>
      </c>
      <c r="AE19" s="44">
        <f>SUMPRODUCT($N$4:$N$16,AE4:AE16)</f>
        <v>0</v>
      </c>
      <c r="AF19" s="44">
        <f>SUMPRODUCT($N$4:$N$16,AF4:AF16)</f>
        <v>0</v>
      </c>
      <c r="AG19" s="44">
        <f t="shared" ref="AG19" si="13">SUMPRODUCT($N$5:$N$16,AG5:AG16)</f>
        <v>0</v>
      </c>
      <c r="AH19" s="47">
        <f>SUMPRODUCT($N$4:$N$16,AH4:AH16)</f>
        <v>4.4408920985006262E-16</v>
      </c>
      <c r="AI19" s="47">
        <f>SUMPRODUCT($N$4:$N$16,AI4:AI16)</f>
        <v>0</v>
      </c>
      <c r="AJ19" s="27"/>
    </row>
    <row r="20" spans="2:36" ht="15.6" x14ac:dyDescent="0.3">
      <c r="B20" s="58"/>
      <c r="C20" s="58"/>
      <c r="D20" s="19"/>
      <c r="E20" s="19"/>
      <c r="F20" s="36"/>
      <c r="J20" s="243"/>
      <c r="K20" s="246"/>
      <c r="R20" s="46" t="s">
        <v>60</v>
      </c>
      <c r="S20" s="44">
        <f t="shared" ref="S20:AD20" si="14">SUMPRODUCT($O$5:$O$16,S5:S16)</f>
        <v>0</v>
      </c>
      <c r="T20" s="44">
        <f t="shared" si="14"/>
        <v>0</v>
      </c>
      <c r="U20" s="44">
        <f t="shared" si="14"/>
        <v>0</v>
      </c>
      <c r="V20" s="44">
        <f t="shared" si="14"/>
        <v>-5.5511151231257827E-17</v>
      </c>
      <c r="W20" s="44">
        <f t="shared" si="14"/>
        <v>0</v>
      </c>
      <c r="X20" s="44">
        <f t="shared" si="14"/>
        <v>0</v>
      </c>
      <c r="Y20" s="44">
        <f t="shared" si="14"/>
        <v>0</v>
      </c>
      <c r="Z20" s="44">
        <f t="shared" si="14"/>
        <v>-1.6653345369377348E-16</v>
      </c>
      <c r="AA20" s="44">
        <f t="shared" si="14"/>
        <v>0</v>
      </c>
      <c r="AB20" s="44">
        <f t="shared" si="14"/>
        <v>0</v>
      </c>
      <c r="AC20" s="44">
        <f t="shared" si="14"/>
        <v>0</v>
      </c>
      <c r="AD20" s="47">
        <f t="shared" si="14"/>
        <v>-5.5511151231257827E-17</v>
      </c>
      <c r="AE20" s="44">
        <f>SUMPRODUCT($O$4:$O$16,AE4:AE16)</f>
        <v>0</v>
      </c>
      <c r="AF20" s="44">
        <f>SUMPRODUCT($O$4:$O$16,AF4:AF16)</f>
        <v>0</v>
      </c>
      <c r="AG20" s="44">
        <f t="shared" ref="AG20" si="15">SUMPRODUCT($O$5:$O$16,AG5:AG16)</f>
        <v>0</v>
      </c>
      <c r="AH20" s="47">
        <f>SUMPRODUCT($O$4:$O$16,AH4:AH16)</f>
        <v>-1.6653345369377348E-16</v>
      </c>
      <c r="AI20" s="47">
        <f>SUMPRODUCT($O$4:$O$16,AI4:AI16)</f>
        <v>0</v>
      </c>
      <c r="AJ20" s="27"/>
    </row>
    <row r="21" spans="2:36" ht="15.6" x14ac:dyDescent="0.3">
      <c r="B21" s="58"/>
      <c r="C21" s="58"/>
      <c r="D21" s="19"/>
      <c r="E21" s="19"/>
      <c r="F21" s="19"/>
      <c r="G21" s="59"/>
      <c r="J21" s="243"/>
      <c r="K21" s="246"/>
      <c r="R21" s="46" t="s">
        <v>61</v>
      </c>
      <c r="S21" s="44">
        <f t="shared" ref="S21:AD21" si="16">SUMPRODUCT($P$5:$P$16,S5:S16)</f>
        <v>0</v>
      </c>
      <c r="T21" s="44">
        <f t="shared" si="16"/>
        <v>0</v>
      </c>
      <c r="U21" s="44">
        <f t="shared" si="16"/>
        <v>0</v>
      </c>
      <c r="V21" s="44">
        <f t="shared" si="16"/>
        <v>0</v>
      </c>
      <c r="W21" s="44">
        <f t="shared" si="16"/>
        <v>0</v>
      </c>
      <c r="X21" s="44">
        <f t="shared" si="16"/>
        <v>0</v>
      </c>
      <c r="Y21" s="44">
        <f t="shared" si="16"/>
        <v>0</v>
      </c>
      <c r="Z21" s="44">
        <f t="shared" si="16"/>
        <v>0</v>
      </c>
      <c r="AA21" s="44">
        <f t="shared" si="16"/>
        <v>0</v>
      </c>
      <c r="AB21" s="44">
        <f t="shared" si="16"/>
        <v>0</v>
      </c>
      <c r="AC21" s="44">
        <f t="shared" si="16"/>
        <v>0</v>
      </c>
      <c r="AD21" s="47">
        <f t="shared" si="16"/>
        <v>0</v>
      </c>
      <c r="AE21" s="44">
        <f>SUMPRODUCT($P$4:$P$16,AE4:AE16)</f>
        <v>0</v>
      </c>
      <c r="AF21" s="44">
        <f>SUMPRODUCT($P$4:$P$16,AF4:AF16)</f>
        <v>0</v>
      </c>
      <c r="AG21" s="44">
        <f t="shared" ref="AG21" si="17">SUMPRODUCT($P$5:$P$16,AG5:AG16)</f>
        <v>0</v>
      </c>
      <c r="AH21" s="47">
        <f>SUMPRODUCT($P$4:$P$16,AH4:AH16)</f>
        <v>0</v>
      </c>
      <c r="AI21" s="47">
        <f>SUMPRODUCT($P$4:$P$16,AI4:AI16)</f>
        <v>0</v>
      </c>
      <c r="AJ21" s="27"/>
    </row>
    <row r="22" spans="2:36" ht="15.6" x14ac:dyDescent="0.3">
      <c r="B22" s="58"/>
      <c r="C22" s="58"/>
      <c r="D22" s="19"/>
      <c r="E22" s="19"/>
      <c r="F22" s="19"/>
      <c r="G22" s="59"/>
      <c r="J22" s="243"/>
      <c r="K22" s="246"/>
      <c r="R22" s="46" t="s">
        <v>62</v>
      </c>
      <c r="S22" s="44">
        <f t="shared" ref="S22:AD22" si="18">SUMPRODUCT($Q$5:$Q$16,S5:S16)</f>
        <v>0</v>
      </c>
      <c r="T22" s="44">
        <f t="shared" si="18"/>
        <v>0</v>
      </c>
      <c r="U22" s="44">
        <f t="shared" si="18"/>
        <v>0</v>
      </c>
      <c r="V22" s="44">
        <f t="shared" si="18"/>
        <v>0</v>
      </c>
      <c r="W22" s="44">
        <f t="shared" si="18"/>
        <v>0</v>
      </c>
      <c r="X22" s="44">
        <f t="shared" si="18"/>
        <v>0</v>
      </c>
      <c r="Y22" s="44">
        <f t="shared" si="18"/>
        <v>0</v>
      </c>
      <c r="Z22" s="44">
        <f t="shared" si="18"/>
        <v>0</v>
      </c>
      <c r="AA22" s="44">
        <f t="shared" si="18"/>
        <v>0</v>
      </c>
      <c r="AB22" s="44">
        <f t="shared" si="18"/>
        <v>0</v>
      </c>
      <c r="AC22" s="44">
        <f t="shared" si="18"/>
        <v>0</v>
      </c>
      <c r="AD22" s="47">
        <f t="shared" si="18"/>
        <v>0</v>
      </c>
      <c r="AE22" s="44">
        <f>SUMPRODUCT($Q$4:$Q$16,AE4:AE16)</f>
        <v>0</v>
      </c>
      <c r="AF22" s="44">
        <f>SUMPRODUCT($Q$4:$Q$16,AF4:AF16)</f>
        <v>0</v>
      </c>
      <c r="AG22" s="44">
        <f t="shared" ref="AG22" si="19">SUMPRODUCT($Q$5:$Q$16,AG5:AG16)</f>
        <v>0</v>
      </c>
      <c r="AH22" s="47">
        <f>SUMPRODUCT($Q$4:$Q$16,AH4:AH16)</f>
        <v>0</v>
      </c>
      <c r="AI22" s="47">
        <f>SUMPRODUCT($Q$4:$Q$16,AI4:AI16)</f>
        <v>0</v>
      </c>
      <c r="AJ22" s="27"/>
    </row>
    <row r="23" spans="2:36" ht="15.6" x14ac:dyDescent="0.3">
      <c r="B23" s="58"/>
      <c r="C23" s="58"/>
      <c r="D23" s="19"/>
      <c r="E23" s="19"/>
      <c r="F23" s="19"/>
      <c r="G23" s="59"/>
      <c r="J23" s="243"/>
      <c r="K23" s="246"/>
      <c r="R23" s="48" t="s">
        <v>23</v>
      </c>
      <c r="S23" s="49">
        <f t="shared" ref="S23:AD23" si="20">SUMPRODUCT($R$5:$R$16,S5:S16)</f>
        <v>1</v>
      </c>
      <c r="T23" s="49">
        <f t="shared" si="20"/>
        <v>0</v>
      </c>
      <c r="U23" s="49">
        <f t="shared" si="20"/>
        <v>0</v>
      </c>
      <c r="V23" s="49">
        <f t="shared" si="20"/>
        <v>0</v>
      </c>
      <c r="W23" s="49">
        <f t="shared" si="20"/>
        <v>0</v>
      </c>
      <c r="X23" s="49">
        <f t="shared" si="20"/>
        <v>0</v>
      </c>
      <c r="Y23" s="49">
        <f t="shared" si="20"/>
        <v>0</v>
      </c>
      <c r="Z23" s="49">
        <f t="shared" si="20"/>
        <v>0</v>
      </c>
      <c r="AA23" s="49">
        <f t="shared" si="20"/>
        <v>0</v>
      </c>
      <c r="AB23" s="49">
        <f t="shared" si="20"/>
        <v>0</v>
      </c>
      <c r="AC23" s="49">
        <f t="shared" si="20"/>
        <v>0</v>
      </c>
      <c r="AD23" s="50">
        <f t="shared" si="20"/>
        <v>0</v>
      </c>
      <c r="AE23" s="49">
        <f>SUMPRODUCT($R$4:$R$16,AE4:AE16)</f>
        <v>0</v>
      </c>
      <c r="AF23" s="49">
        <f>SUMPRODUCT($R$4:$R$16,AF4:AF16)</f>
        <v>0</v>
      </c>
      <c r="AG23" s="49">
        <f t="shared" ref="AG23" si="21">SUMPRODUCT($R$5:$R$16,AG5:AG16)</f>
        <v>0</v>
      </c>
      <c r="AH23" s="50">
        <f>SUMPRODUCT($R$4:$R$16,AH4:AH16)</f>
        <v>0</v>
      </c>
      <c r="AI23" s="50">
        <f>SUMPRODUCT($R$4:$R$16,AI4:AI16)</f>
        <v>0</v>
      </c>
      <c r="AJ23" s="27"/>
    </row>
    <row r="24" spans="2:36" ht="15.6" x14ac:dyDescent="0.3">
      <c r="B24" s="58"/>
      <c r="C24" s="58"/>
      <c r="D24" s="19"/>
      <c r="E24" s="19"/>
      <c r="F24" s="19"/>
      <c r="G24" s="59"/>
      <c r="J24" s="243"/>
      <c r="K24" s="246"/>
      <c r="V24" s="51" t="s">
        <v>63</v>
      </c>
      <c r="Z24" s="51" t="s">
        <v>63</v>
      </c>
      <c r="AD24" s="51" t="s">
        <v>63</v>
      </c>
      <c r="AH24" s="51" t="s">
        <v>63</v>
      </c>
    </row>
    <row r="25" spans="2:36" ht="15.6" x14ac:dyDescent="0.3">
      <c r="B25" s="58"/>
      <c r="C25" s="58"/>
      <c r="D25" s="19"/>
      <c r="E25" s="19"/>
      <c r="F25" s="19"/>
      <c r="G25" s="59"/>
      <c r="J25" s="243"/>
      <c r="K25" s="246"/>
    </row>
    <row r="26" spans="2:36" ht="17.399999999999999" x14ac:dyDescent="0.3">
      <c r="B26" s="58"/>
      <c r="C26" s="58"/>
      <c r="D26" s="19"/>
      <c r="E26" s="19"/>
      <c r="F26" s="19"/>
      <c r="G26" s="59"/>
      <c r="J26" s="243"/>
      <c r="K26" s="246"/>
      <c r="N26" s="248" t="s">
        <v>64</v>
      </c>
      <c r="O26" s="249"/>
      <c r="P26" s="249"/>
      <c r="Q26" s="250"/>
      <c r="R26" s="52" t="s">
        <v>65</v>
      </c>
      <c r="S26" s="53">
        <f t="shared" ref="S26:AD26" si="22">SUMPRODUCT($J$5:$J$16,S5:S16)</f>
        <v>-267.41000000000003</v>
      </c>
      <c r="T26" s="53">
        <f t="shared" si="22"/>
        <v>-67.936000000000035</v>
      </c>
      <c r="U26" s="53">
        <f t="shared" si="22"/>
        <v>468.73</v>
      </c>
      <c r="V26" s="54">
        <f t="shared" si="22"/>
        <v>260.17500000000013</v>
      </c>
      <c r="W26" s="53">
        <f t="shared" si="22"/>
        <v>-87.34</v>
      </c>
      <c r="X26" s="53">
        <f t="shared" si="22"/>
        <v>-161.6819999999999</v>
      </c>
      <c r="Y26" s="53">
        <f t="shared" si="22"/>
        <v>158.04000000000002</v>
      </c>
      <c r="Z26" s="54">
        <f t="shared" si="22"/>
        <v>265.02600000000007</v>
      </c>
      <c r="AA26" s="53">
        <f t="shared" si="22"/>
        <v>-354.75</v>
      </c>
      <c r="AB26" s="53">
        <f t="shared" si="22"/>
        <v>-67.936000000000035</v>
      </c>
      <c r="AC26" s="53">
        <f t="shared" si="22"/>
        <v>626.77</v>
      </c>
      <c r="AD26" s="54">
        <f t="shared" si="22"/>
        <v>261.1182500000001</v>
      </c>
      <c r="AE26" s="53">
        <f t="shared" ref="AE26:AH26" si="23">SUMPRODUCT($J$5:$J$16,AE5:AE16)</f>
        <v>-415.59000000000003</v>
      </c>
      <c r="AF26" s="53">
        <f t="shared" si="23"/>
        <v>-67.936000000000035</v>
      </c>
      <c r="AG26" s="53">
        <f t="shared" si="23"/>
        <v>158.04000000000002</v>
      </c>
      <c r="AH26" s="54">
        <f t="shared" si="23"/>
        <v>263.94800000000009</v>
      </c>
    </row>
    <row r="27" spans="2:36" ht="18.75" customHeight="1" x14ac:dyDescent="0.3">
      <c r="B27" s="58"/>
      <c r="C27" s="58"/>
      <c r="D27" s="19"/>
      <c r="E27" s="19"/>
      <c r="F27" s="19"/>
      <c r="G27" s="59"/>
      <c r="J27" s="243"/>
      <c r="K27" s="246"/>
      <c r="N27" s="248" t="s">
        <v>66</v>
      </c>
      <c r="O27" s="249"/>
      <c r="P27" s="249"/>
      <c r="Q27" s="250"/>
      <c r="R27" s="55" t="s">
        <v>67</v>
      </c>
      <c r="S27" s="56">
        <f>S26+$AM$5*$AM$6*LN(0.0000001^(S14))</f>
        <v>-307.36384335522246</v>
      </c>
      <c r="T27" s="56">
        <f t="shared" ref="T27:U27" si="24">T26+$AM$5*$AM$6*LN(0.0000001^(T14))</f>
        <v>139.82398544715653</v>
      </c>
      <c r="U27" s="56">
        <f t="shared" si="24"/>
        <v>229.00693986866554</v>
      </c>
      <c r="V27" s="57">
        <f>V26+$AM$5*$AM$6*LN(0.0000001^(V14))</f>
        <v>300.12884335522256</v>
      </c>
      <c r="W27" s="56">
        <f>W26+$AM$5*$AM$6*LN(0.0000001^(W14))</f>
        <v>-87.34</v>
      </c>
      <c r="X27" s="56">
        <f t="shared" ref="X27:Y27" si="25">X26+$AM$5*$AM$6*LN(0.0000001^(X14))</f>
        <v>94.022597473423588</v>
      </c>
      <c r="Y27" s="56">
        <f t="shared" si="25"/>
        <v>78.132313289555185</v>
      </c>
      <c r="Z27" s="57">
        <f>Z26+$AM$5*$AM$6*LN(0.0000001^(Z14))</f>
        <v>304.9798433552225</v>
      </c>
      <c r="AA27" s="56">
        <f>AA26+$AM$5*$AM$6*LN(0.0000001^(AA14))</f>
        <v>-354.75</v>
      </c>
      <c r="AB27" s="56">
        <f t="shared" ref="AB27:AC27" si="26">AB26+$AM$5*$AM$6*LN(0.0000001^(AB14))</f>
        <v>139.82398544715653</v>
      </c>
      <c r="AC27" s="56">
        <f t="shared" si="26"/>
        <v>307.13925315822064</v>
      </c>
      <c r="AD27" s="57">
        <f>AD26+$AM$5*$AM$6*LN(0.0000001^(AD14))</f>
        <v>301.07209335522253</v>
      </c>
      <c r="AE27" s="56">
        <f>AE26+$AM$5*$AM$6*LN(0.0000001^(AE14))</f>
        <v>-415.59000000000003</v>
      </c>
      <c r="AF27" s="56">
        <f t="shared" ref="AF27:AG27" si="27">AF26+$AM$5*$AM$6*LN(0.0000001^(AF14))</f>
        <v>139.82398544715653</v>
      </c>
      <c r="AG27" s="56">
        <f t="shared" si="27"/>
        <v>78.132313289555185</v>
      </c>
      <c r="AH27" s="57">
        <f>AH26+$AM$5*$AM$6*LN(0.0000001^(AH14))</f>
        <v>303.90184335522252</v>
      </c>
    </row>
    <row r="28" spans="2:36" ht="15.6" x14ac:dyDescent="0.3">
      <c r="B28" s="58"/>
      <c r="C28" s="58"/>
      <c r="D28" s="19"/>
      <c r="E28" s="19"/>
      <c r="F28" s="19"/>
      <c r="G28" s="59"/>
      <c r="J28" s="243"/>
      <c r="K28" s="246"/>
      <c r="O28" s="27"/>
      <c r="P28" s="27"/>
      <c r="Q28" s="27"/>
    </row>
    <row r="29" spans="2:36" ht="15.6" x14ac:dyDescent="0.3">
      <c r="B29" s="58"/>
      <c r="C29" s="58"/>
      <c r="D29" s="19"/>
      <c r="E29" s="19"/>
      <c r="F29" s="19"/>
      <c r="G29" s="59"/>
      <c r="J29" s="243"/>
      <c r="K29" s="246"/>
    </row>
    <row r="30" spans="2:36" x14ac:dyDescent="0.3">
      <c r="J30" s="243"/>
      <c r="K30" s="246"/>
    </row>
    <row r="31" spans="2:36" x14ac:dyDescent="0.3">
      <c r="J31" s="243"/>
      <c r="K31" s="246"/>
    </row>
    <row r="32" spans="2:36" x14ac:dyDescent="0.3">
      <c r="J32" s="243"/>
      <c r="K32" s="246"/>
    </row>
    <row r="33" spans="10:26" ht="15" thickBot="1" x14ac:dyDescent="0.35">
      <c r="J33" s="244"/>
      <c r="K33" s="247"/>
    </row>
    <row r="34" spans="10:26" x14ac:dyDescent="0.3">
      <c r="U34" s="164"/>
      <c r="V34" s="74">
        <v>10</v>
      </c>
      <c r="W34" s="74">
        <v>20</v>
      </c>
      <c r="X34" s="75">
        <v>30</v>
      </c>
      <c r="Y34"/>
      <c r="Z34"/>
    </row>
    <row r="35" spans="10:26" x14ac:dyDescent="0.3">
      <c r="U35" s="165" t="s">
        <v>68</v>
      </c>
      <c r="V35" s="160">
        <f>(1.28*10^(12))*EXP(-8183/(273+V34))/(1+((2.05*10^(-9))/(10^(-7.5)))+((10^(-7.5))/(1.66*10^(-7))))</f>
        <v>0.2823217413975958</v>
      </c>
      <c r="W35" s="160">
        <f t="shared" ref="W35:X35" si="28">(1.28*10^(12))*EXP(-8183/(273+W34))/(1+((2.05*10^(-9))/(10^(-7.5)))+((10^(-7.5))/(1.66*10^(-7))))</f>
        <v>0.75741706690483923</v>
      </c>
      <c r="X35" s="161">
        <f t="shared" si="28"/>
        <v>1.9038644750378029</v>
      </c>
      <c r="Y35"/>
      <c r="Z35"/>
    </row>
    <row r="36" spans="10:26" x14ac:dyDescent="0.3">
      <c r="U36" s="166" t="s">
        <v>69</v>
      </c>
      <c r="V36" s="162">
        <f>(6.69*10^(7))*EXP(-5295/(273+V34))/(1+((2.05*10^(-9))/(10^(-7.5)))+((10^(-7.5))/(1.66*10^(-7))))</f>
        <v>0.39894464591466677</v>
      </c>
      <c r="W36" s="162">
        <f t="shared" ref="W36:X36" si="29">(6.69*10^(7))*EXP(-5295/(273+W34))/(1+((2.05*10^(-9))/(10^(-7.5)))+((10^(-7.5))/(1.66*10^(-7))))</f>
        <v>0.75551351479496387</v>
      </c>
      <c r="X36" s="163">
        <f t="shared" si="29"/>
        <v>1.3717224615090331</v>
      </c>
      <c r="Y36"/>
      <c r="Z36"/>
    </row>
    <row r="37" spans="10:26" x14ac:dyDescent="0.3">
      <c r="U37" s="165" t="s">
        <v>70</v>
      </c>
      <c r="V37" s="160">
        <f>(1.651*10^(11))*EXP(-8183/(273+V34))</f>
        <v>4.5712789685116106E-2</v>
      </c>
      <c r="W37" s="160">
        <f t="shared" ref="W37:X37" si="30">(1.651*10^(11))*EXP(-8183/(273+W34))</f>
        <v>0.12263896826343848</v>
      </c>
      <c r="X37" s="161">
        <f t="shared" si="30"/>
        <v>0.30826870047461469</v>
      </c>
      <c r="Y37"/>
      <c r="Z37"/>
    </row>
    <row r="38" spans="10:26" ht="15" thickBot="1" x14ac:dyDescent="0.35">
      <c r="U38" s="167" t="s">
        <v>71</v>
      </c>
      <c r="V38" s="76">
        <f>(8.626*10^(6))*EXP(-5295/(273+V34))</f>
        <v>6.4573194919367791E-2</v>
      </c>
      <c r="W38" s="76">
        <f t="shared" ref="W38" si="31">(8.626*10^(6))*EXP(-5295/(273+W34))</f>
        <v>0.12228744502440833</v>
      </c>
      <c r="X38" s="77">
        <f>(8.626*10^(6))*EXP(-5295/(273+X34))</f>
        <v>0.22202704758505282</v>
      </c>
      <c r="Y38"/>
      <c r="Z38"/>
    </row>
    <row r="39" spans="10:26" x14ac:dyDescent="0.3">
      <c r="U39"/>
      <c r="V39"/>
      <c r="W39"/>
      <c r="X39"/>
      <c r="Y39"/>
      <c r="Z39"/>
    </row>
  </sheetData>
  <mergeCells count="8">
    <mergeCell ref="AE2:AH2"/>
    <mergeCell ref="S2:V2"/>
    <mergeCell ref="W2:Z2"/>
    <mergeCell ref="AA2:AD2"/>
    <mergeCell ref="J17:J33"/>
    <mergeCell ref="K17:K33"/>
    <mergeCell ref="N26:Q26"/>
    <mergeCell ref="N27:Q27"/>
  </mergeCells>
  <conditionalFormatting sqref="S5:AB7 AD5:AD7 AD9:AD16 S9:AB16">
    <cfRule type="cellIs" dxfId="74" priority="18" operator="equal">
      <formula>0</formula>
    </cfRule>
  </conditionalFormatting>
  <conditionalFormatting sqref="S17:AD23">
    <cfRule type="cellIs" dxfId="73" priority="19" operator="notBetween">
      <formula>0.0000000001</formula>
      <formula>-0.0000000001</formula>
    </cfRule>
    <cfRule type="cellIs" dxfId="72" priority="20" operator="between">
      <formula>0.0000000001</formula>
      <formula>-0.0000000001</formula>
    </cfRule>
  </conditionalFormatting>
  <conditionalFormatting sqref="S8:AB8 AD8">
    <cfRule type="cellIs" dxfId="71" priority="13" operator="equal">
      <formula>0</formula>
    </cfRule>
  </conditionalFormatting>
  <conditionalFormatting sqref="AC5:AC7 AC9:AC16">
    <cfRule type="cellIs" dxfId="70" priority="12" operator="equal">
      <formula>0</formula>
    </cfRule>
  </conditionalFormatting>
  <conditionalFormatting sqref="AC8">
    <cfRule type="cellIs" dxfId="69" priority="11" operator="equal">
      <formula>0</formula>
    </cfRule>
  </conditionalFormatting>
  <conditionalFormatting sqref="AG8">
    <cfRule type="cellIs" dxfId="68" priority="5" operator="equal">
      <formula>0</formula>
    </cfRule>
  </conditionalFormatting>
  <conditionalFormatting sqref="AE5:AF7 AE9:AF16 AH9:AI16 AH5:AJ5 AH6:AI7 AJ6:AJ16 AH4">
    <cfRule type="cellIs" dxfId="67" priority="8" operator="equal">
      <formula>0</formula>
    </cfRule>
  </conditionalFormatting>
  <conditionalFormatting sqref="AE17:AJ23">
    <cfRule type="cellIs" dxfId="66" priority="9" operator="notBetween">
      <formula>0.0000000001</formula>
      <formula>-0.0000000001</formula>
    </cfRule>
    <cfRule type="cellIs" dxfId="65" priority="10" operator="between">
      <formula>0.0000000001</formula>
      <formula>-0.0000000001</formula>
    </cfRule>
  </conditionalFormatting>
  <conditionalFormatting sqref="AE8:AF8 AH8:AI8">
    <cfRule type="cellIs" dxfId="64" priority="7" operator="equal">
      <formula>0</formula>
    </cfRule>
  </conditionalFormatting>
  <conditionalFormatting sqref="AG5:AG7 AG9:AG16">
    <cfRule type="cellIs" dxfId="63" priority="6" operator="equal">
      <formula>0</formula>
    </cfRule>
  </conditionalFormatting>
  <conditionalFormatting sqref="AD4 S4:AB4">
    <cfRule type="cellIs" dxfId="62" priority="4" operator="equal">
      <formula>0</formula>
    </cfRule>
  </conditionalFormatting>
  <conditionalFormatting sqref="AC4">
    <cfRule type="cellIs" dxfId="61" priority="3" operator="equal">
      <formula>0</formula>
    </cfRule>
  </conditionalFormatting>
  <conditionalFormatting sqref="AE4:AF4 AI4">
    <cfRule type="cellIs" dxfId="60" priority="2" operator="equal">
      <formula>0</formula>
    </cfRule>
  </conditionalFormatting>
  <conditionalFormatting sqref="AG4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0DB5-92D9-44E1-984F-05E418326CA4}">
  <dimension ref="A1:B5"/>
  <sheetViews>
    <sheetView workbookViewId="0">
      <selection activeCell="E24" sqref="E24"/>
    </sheetView>
  </sheetViews>
  <sheetFormatPr defaultRowHeight="13.2" x14ac:dyDescent="0.25"/>
  <cols>
    <col min="1" max="1" width="15.77734375" bestFit="1" customWidth="1"/>
  </cols>
  <sheetData>
    <row r="1" spans="1:2" x14ac:dyDescent="0.25">
      <c r="A1" s="142" t="s">
        <v>166</v>
      </c>
      <c r="B1" s="223" t="b">
        <v>0</v>
      </c>
    </row>
    <row r="2" spans="1:2" x14ac:dyDescent="0.25">
      <c r="A2" s="144" t="s">
        <v>167</v>
      </c>
      <c r="B2" s="223" t="s">
        <v>169</v>
      </c>
    </row>
    <row r="3" spans="1:2" x14ac:dyDescent="0.25">
      <c r="A3" s="144" t="s">
        <v>175</v>
      </c>
      <c r="B3" s="216" t="b">
        <v>0</v>
      </c>
    </row>
    <row r="4" spans="1:2" x14ac:dyDescent="0.25">
      <c r="A4" s="144" t="s">
        <v>168</v>
      </c>
      <c r="B4" s="216" t="b">
        <v>1</v>
      </c>
    </row>
    <row r="5" spans="1:2" x14ac:dyDescent="0.25">
      <c r="A5" s="240" t="s">
        <v>176</v>
      </c>
      <c r="B5" s="216" t="b">
        <v>1</v>
      </c>
    </row>
  </sheetData>
  <dataValidations count="2">
    <dataValidation type="list" allowBlank="1" showInputMessage="1" showErrorMessage="1" sqref="B2" xr:uid="{54BD5B48-48D3-4918-B933-84192454EDAB}">
      <formula1>"Neut,Comp,Comm,Copr"</formula1>
    </dataValidation>
    <dataValidation type="list" allowBlank="1" showInputMessage="1" showErrorMessage="1" sqref="B1 B3:B5" xr:uid="{E03D1A38-E4CD-4F8A-8EC3-3AE9680BF385}">
      <formula1>"true, 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F689-441D-42D9-88AF-5DCF32002981}">
  <dimension ref="A1:D5"/>
  <sheetViews>
    <sheetView workbookViewId="0">
      <selection activeCell="C12" sqref="C12"/>
    </sheetView>
  </sheetViews>
  <sheetFormatPr defaultRowHeight="13.2" x14ac:dyDescent="0.25"/>
  <cols>
    <col min="2" max="2" width="14.21875" customWidth="1"/>
    <col min="3" max="3" width="13.77734375" customWidth="1"/>
    <col min="4" max="4" width="12" customWidth="1"/>
  </cols>
  <sheetData>
    <row r="1" spans="1:4" x14ac:dyDescent="0.25">
      <c r="A1" s="70"/>
      <c r="B1" s="71" t="s">
        <v>72</v>
      </c>
      <c r="C1" s="71" t="s">
        <v>73</v>
      </c>
      <c r="D1" s="71" t="s">
        <v>74</v>
      </c>
    </row>
    <row r="2" spans="1:4" x14ac:dyDescent="0.25">
      <c r="A2" s="206" t="s">
        <v>78</v>
      </c>
      <c r="B2" s="216">
        <f>0.0247*(1/17)*(1/1000)</f>
        <v>1.4529411764705884E-6</v>
      </c>
      <c r="C2" s="216">
        <v>0</v>
      </c>
      <c r="D2" s="216">
        <f>0.115*(1/32)*(1/1000)</f>
        <v>3.5937500000000001E-6</v>
      </c>
    </row>
    <row r="3" spans="1:4" x14ac:dyDescent="0.25">
      <c r="A3" s="206" t="s">
        <v>80</v>
      </c>
      <c r="B3" s="216">
        <v>0</v>
      </c>
      <c r="C3" s="216">
        <f>2.09*10^(-4)*(1/47)*(1/1000)</f>
        <v>4.4468085106382973E-9</v>
      </c>
      <c r="D3" s="216">
        <f>0.25*(1/32)*(1/1000)</f>
        <v>7.8125000000000002E-6</v>
      </c>
    </row>
    <row r="4" spans="1:4" x14ac:dyDescent="0.25">
      <c r="A4" s="206" t="s">
        <v>82</v>
      </c>
      <c r="B4" s="216">
        <v>0</v>
      </c>
      <c r="C4" s="216">
        <f>4.18*10^(-6)*(1/47)*(1/1000)</f>
        <v>8.8936170212765954E-11</v>
      </c>
      <c r="D4" s="216">
        <f>0.083*(1/32)*(1/1000)</f>
        <v>2.5937500000000004E-6</v>
      </c>
    </row>
    <row r="5" spans="1:4" x14ac:dyDescent="0.25">
      <c r="A5" s="206" t="s">
        <v>83</v>
      </c>
      <c r="B5" s="216">
        <f>0.007*(1/17)*(1/1000)</f>
        <v>4.1176470588235295E-7</v>
      </c>
      <c r="C5" s="216">
        <f>7.67*10^(-7)*(1/47)*(1/1000)</f>
        <v>1.6319148936170212E-11</v>
      </c>
      <c r="D5" s="21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AE86-699B-425D-9552-4ABBD32F0DFA}">
  <dimension ref="A1:D5"/>
  <sheetViews>
    <sheetView workbookViewId="0">
      <selection activeCell="C2" sqref="C2"/>
    </sheetView>
  </sheetViews>
  <sheetFormatPr defaultRowHeight="13.2" x14ac:dyDescent="0.25"/>
  <cols>
    <col min="2" max="3" width="11.6640625" customWidth="1"/>
    <col min="4" max="4" width="12" customWidth="1"/>
  </cols>
  <sheetData>
    <row r="1" spans="1:4" x14ac:dyDescent="0.25">
      <c r="B1" s="71" t="s">
        <v>75</v>
      </c>
      <c r="C1" s="71" t="s">
        <v>162</v>
      </c>
      <c r="D1" s="71" t="s">
        <v>76</v>
      </c>
    </row>
    <row r="2" spans="1:4" x14ac:dyDescent="0.25">
      <c r="A2" s="206" t="s">
        <v>78</v>
      </c>
      <c r="B2" s="216">
        <v>0</v>
      </c>
      <c r="C2" s="216">
        <f>0.55*(1/47)*(1/1000)</f>
        <v>1.1702127659574469E-5</v>
      </c>
      <c r="D2" s="216">
        <v>0</v>
      </c>
    </row>
    <row r="3" spans="1:4" x14ac:dyDescent="0.25">
      <c r="A3" s="206" t="s">
        <v>80</v>
      </c>
      <c r="B3" s="216">
        <f>21.3*(1/14)*(1/1000)</f>
        <v>1.5214285714285714E-3</v>
      </c>
      <c r="C3" s="216">
        <v>0</v>
      </c>
      <c r="D3" s="216">
        <v>0</v>
      </c>
    </row>
    <row r="4" spans="1:4" x14ac:dyDescent="0.25">
      <c r="A4" s="206" t="s">
        <v>82</v>
      </c>
      <c r="B4" s="216">
        <f>1.82*(1/14)*(1/1000)</f>
        <v>1.3000000000000002E-4</v>
      </c>
      <c r="C4" s="216">
        <v>0</v>
      </c>
      <c r="D4" s="216">
        <v>0</v>
      </c>
    </row>
    <row r="5" spans="1:4" x14ac:dyDescent="0.25">
      <c r="A5" s="206" t="s">
        <v>83</v>
      </c>
      <c r="B5" s="216">
        <v>0</v>
      </c>
      <c r="C5" s="216">
        <v>0</v>
      </c>
      <c r="D5" s="216">
        <f>0.01*(1/32)*(1/1000)</f>
        <v>3.1250000000000003E-7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FA51-252D-42F9-AC75-BD3B676D8AD2}">
  <dimension ref="A1:C5"/>
  <sheetViews>
    <sheetView workbookViewId="0">
      <selection activeCell="C9" sqref="C9"/>
    </sheetView>
  </sheetViews>
  <sheetFormatPr defaultRowHeight="13.2" x14ac:dyDescent="0.25"/>
  <cols>
    <col min="2" max="2" width="10.6640625" customWidth="1"/>
  </cols>
  <sheetData>
    <row r="1" spans="1:3" x14ac:dyDescent="0.25">
      <c r="B1" s="72" t="s">
        <v>13</v>
      </c>
      <c r="C1" s="73" t="s">
        <v>77</v>
      </c>
    </row>
    <row r="2" spans="1:3" x14ac:dyDescent="0.25">
      <c r="A2" s="206" t="s">
        <v>78</v>
      </c>
      <c r="B2" s="216">
        <f>0.0415</f>
        <v>4.1500000000000002E-2</v>
      </c>
      <c r="C2" s="215" t="s">
        <v>79</v>
      </c>
    </row>
    <row r="3" spans="1:3" x14ac:dyDescent="0.25">
      <c r="A3" s="206" t="s">
        <v>80</v>
      </c>
      <c r="B3" s="216">
        <v>2.07E-2</v>
      </c>
      <c r="C3" s="215" t="s">
        <v>81</v>
      </c>
    </row>
    <row r="4" spans="1:3" x14ac:dyDescent="0.25">
      <c r="A4" s="206" t="s">
        <v>82</v>
      </c>
      <c r="B4" s="216">
        <v>2.07E-2</v>
      </c>
      <c r="C4" s="215" t="s">
        <v>81</v>
      </c>
    </row>
    <row r="5" spans="1:3" x14ac:dyDescent="0.25">
      <c r="A5" s="206" t="s">
        <v>83</v>
      </c>
      <c r="B5" s="216">
        <f>0.066</f>
        <v>6.6000000000000003E-2</v>
      </c>
      <c r="C5" s="215" t="s">
        <v>79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B2" sqref="B2"/>
    </sheetView>
  </sheetViews>
  <sheetFormatPr defaultColWidth="11.44140625" defaultRowHeight="13.2" x14ac:dyDescent="0.25"/>
  <cols>
    <col min="1" max="1" width="10.44140625" style="62" customWidth="1"/>
    <col min="2" max="2" width="11.44140625" style="62"/>
    <col min="3" max="3" width="12.109375" style="62" customWidth="1"/>
    <col min="4" max="16384" width="11.44140625" style="62"/>
  </cols>
  <sheetData>
    <row r="1" spans="1:5" x14ac:dyDescent="0.25">
      <c r="A1" s="148" t="s">
        <v>163</v>
      </c>
      <c r="B1" s="223">
        <f>(20)/(17*1000)</f>
        <v>1.176470588235294E-3</v>
      </c>
      <c r="C1" s="149" t="s">
        <v>94</v>
      </c>
      <c r="D1" s="88"/>
      <c r="E1" s="88"/>
    </row>
    <row r="2" spans="1:5" x14ac:dyDescent="0.25">
      <c r="A2" s="150" t="s">
        <v>40</v>
      </c>
      <c r="B2" s="224">
        <f>273.15+20</f>
        <v>293.14999999999998</v>
      </c>
      <c r="C2" s="145" t="s">
        <v>41</v>
      </c>
      <c r="D2" s="88"/>
      <c r="E2" s="88"/>
    </row>
    <row r="3" spans="1:5" x14ac:dyDescent="0.25">
      <c r="A3" s="150" t="s">
        <v>116</v>
      </c>
      <c r="B3" s="224">
        <f>8.3144/1000</f>
        <v>8.3143999999999996E-3</v>
      </c>
      <c r="C3" s="145" t="s">
        <v>37</v>
      </c>
      <c r="D3" s="88"/>
      <c r="E3" s="88"/>
    </row>
    <row r="4" spans="1:5" x14ac:dyDescent="0.25">
      <c r="A4" s="150" t="s">
        <v>117</v>
      </c>
      <c r="B4" s="224">
        <v>8.2057459999999999E-2</v>
      </c>
      <c r="C4" s="145" t="s">
        <v>118</v>
      </c>
      <c r="D4" s="88"/>
      <c r="E4" s="88"/>
    </row>
    <row r="5" spans="1:5" x14ac:dyDescent="0.25">
      <c r="A5" s="150" t="s">
        <v>21</v>
      </c>
      <c r="B5" s="224">
        <v>1</v>
      </c>
      <c r="C5" s="145" t="s">
        <v>96</v>
      </c>
      <c r="D5" s="88"/>
      <c r="E5" s="88"/>
    </row>
    <row r="6" spans="1:5" x14ac:dyDescent="0.25">
      <c r="A6" s="150" t="s">
        <v>119</v>
      </c>
      <c r="B6" s="180">
        <f>B7</f>
        <v>2.3271056693257722E-10</v>
      </c>
      <c r="C6" s="145" t="s">
        <v>120</v>
      </c>
      <c r="D6" s="88"/>
      <c r="E6" s="88"/>
    </row>
    <row r="7" spans="1:5" x14ac:dyDescent="0.25">
      <c r="A7" s="150" t="s">
        <v>121</v>
      </c>
      <c r="B7" s="180">
        <f>(((Bacteria!B8/3)*Bacteria!B1)/3)/1000</f>
        <v>2.3271056693257722E-10</v>
      </c>
      <c r="C7" s="145" t="s">
        <v>120</v>
      </c>
      <c r="D7" s="222"/>
      <c r="E7" s="88"/>
    </row>
    <row r="8" spans="1:5" x14ac:dyDescent="0.25">
      <c r="A8" s="150" t="s">
        <v>122</v>
      </c>
      <c r="B8" s="233">
        <v>7.7</v>
      </c>
      <c r="C8" s="145" t="s">
        <v>113</v>
      </c>
      <c r="D8" s="88"/>
      <c r="E8" s="88"/>
    </row>
    <row r="9" spans="1:5" x14ac:dyDescent="0.25">
      <c r="A9" s="150" t="s">
        <v>164</v>
      </c>
      <c r="B9" s="239">
        <v>1</v>
      </c>
      <c r="C9" s="145" t="s">
        <v>165</v>
      </c>
      <c r="D9" s="88"/>
      <c r="E9" s="88"/>
    </row>
    <row r="10" spans="1:5" x14ac:dyDescent="0.25">
      <c r="A10" s="150" t="s">
        <v>123</v>
      </c>
      <c r="B10" s="233">
        <v>4</v>
      </c>
      <c r="C10" s="145" t="s">
        <v>124</v>
      </c>
      <c r="D10" s="88"/>
      <c r="E10" s="88"/>
    </row>
    <row r="11" spans="1:5" x14ac:dyDescent="0.25">
      <c r="A11" s="151" t="s">
        <v>125</v>
      </c>
      <c r="B11" s="225">
        <f>(B7*1000)/0.01</f>
        <v>2.3271056693257722E-5</v>
      </c>
      <c r="C11" s="152" t="s">
        <v>126</v>
      </c>
      <c r="D11" s="88"/>
      <c r="E11" s="88"/>
    </row>
    <row r="17" spans="1:5" x14ac:dyDescent="0.25">
      <c r="A17" s="88"/>
      <c r="B17" s="88"/>
      <c r="C17" s="88"/>
      <c r="D17" s="88"/>
      <c r="E17" s="222"/>
    </row>
    <row r="18" spans="1:5" x14ac:dyDescent="0.25">
      <c r="C18" s="222"/>
      <c r="D18" s="88"/>
    </row>
    <row r="19" spans="1:5" x14ac:dyDescent="0.25">
      <c r="C19" s="88"/>
      <c r="D19" s="22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ColWidth="11.44140625" defaultRowHeight="13.2" x14ac:dyDescent="0.25"/>
  <cols>
    <col min="1" max="1" width="8.44140625" style="62" customWidth="1"/>
    <col min="2" max="2" width="13.5546875" style="62" customWidth="1"/>
    <col min="3" max="3" width="13" style="62" customWidth="1"/>
    <col min="4" max="4" width="13.5546875" style="62" customWidth="1"/>
    <col min="5" max="5" width="14.5546875" style="62" customWidth="1"/>
    <col min="6" max="6" width="14" style="62" customWidth="1"/>
    <col min="7" max="7" width="16.88671875" style="62" customWidth="1"/>
    <col min="8" max="8" width="13" style="62" customWidth="1"/>
    <col min="9" max="9" width="14.5546875" style="62" customWidth="1"/>
    <col min="10" max="16384" width="11.44140625" style="62"/>
  </cols>
  <sheetData>
    <row r="1" spans="1:13" x14ac:dyDescent="0.25">
      <c r="A1" s="88"/>
      <c r="B1" s="251" t="s">
        <v>78</v>
      </c>
      <c r="C1" s="252"/>
      <c r="D1" s="253"/>
      <c r="E1" s="251" t="s">
        <v>80</v>
      </c>
      <c r="F1" s="252"/>
      <c r="G1" s="253"/>
      <c r="H1" s="251" t="s">
        <v>82</v>
      </c>
      <c r="I1" s="252"/>
      <c r="J1" s="253"/>
      <c r="K1" s="252" t="s">
        <v>83</v>
      </c>
      <c r="L1" s="252"/>
      <c r="M1" s="253"/>
    </row>
    <row r="2" spans="1:13" x14ac:dyDescent="0.25">
      <c r="A2" s="88"/>
      <c r="B2" s="63" t="s">
        <v>84</v>
      </c>
      <c r="C2" s="64" t="s">
        <v>85</v>
      </c>
      <c r="D2" s="65" t="s">
        <v>86</v>
      </c>
      <c r="E2" s="63" t="s">
        <v>84</v>
      </c>
      <c r="F2" s="64" t="s">
        <v>85</v>
      </c>
      <c r="G2" s="65" t="s">
        <v>86</v>
      </c>
      <c r="H2" s="63" t="s">
        <v>84</v>
      </c>
      <c r="I2" s="64" t="s">
        <v>85</v>
      </c>
      <c r="J2" s="65" t="s">
        <v>86</v>
      </c>
      <c r="K2" s="64" t="s">
        <v>84</v>
      </c>
      <c r="L2" s="64" t="s">
        <v>85</v>
      </c>
      <c r="M2" s="65" t="s">
        <v>86</v>
      </c>
    </row>
    <row r="3" spans="1:13" x14ac:dyDescent="0.25">
      <c r="A3" s="78" t="s">
        <v>79</v>
      </c>
      <c r="B3" s="190">
        <v>-1</v>
      </c>
      <c r="C3" s="191">
        <v>-0.90000000000000013</v>
      </c>
      <c r="D3" s="192">
        <v>0</v>
      </c>
      <c r="E3" s="190">
        <v>0</v>
      </c>
      <c r="F3" s="191">
        <v>0</v>
      </c>
      <c r="G3" s="192">
        <v>0</v>
      </c>
      <c r="H3" s="190">
        <v>0</v>
      </c>
      <c r="I3" s="191">
        <v>0</v>
      </c>
      <c r="J3" s="192">
        <v>0</v>
      </c>
      <c r="K3" s="198">
        <v>-1</v>
      </c>
      <c r="L3" s="191">
        <v>-0.2</v>
      </c>
      <c r="M3" s="192">
        <v>0</v>
      </c>
    </row>
    <row r="4" spans="1:13" x14ac:dyDescent="0.25">
      <c r="A4" s="81" t="s">
        <v>81</v>
      </c>
      <c r="B4" s="193">
        <v>1</v>
      </c>
      <c r="C4" s="191">
        <v>0.70000000000000007</v>
      </c>
      <c r="D4" s="194">
        <v>0</v>
      </c>
      <c r="E4" s="193">
        <v>-1</v>
      </c>
      <c r="F4" s="191">
        <v>-2.9000000000000004</v>
      </c>
      <c r="G4" s="194">
        <v>0</v>
      </c>
      <c r="H4" s="193">
        <v>-1</v>
      </c>
      <c r="I4" s="191">
        <v>-2.9000000000000004</v>
      </c>
      <c r="J4" s="194">
        <v>0</v>
      </c>
      <c r="K4" s="191">
        <v>-1</v>
      </c>
      <c r="L4" s="191">
        <v>-2.1</v>
      </c>
      <c r="M4" s="194">
        <v>0</v>
      </c>
    </row>
    <row r="5" spans="1:13" x14ac:dyDescent="0.25">
      <c r="A5" s="81" t="s">
        <v>87</v>
      </c>
      <c r="B5" s="193">
        <v>0</v>
      </c>
      <c r="C5" s="191">
        <v>0</v>
      </c>
      <c r="D5" s="194">
        <v>0</v>
      </c>
      <c r="E5" s="193">
        <v>1</v>
      </c>
      <c r="F5" s="191">
        <v>2.7</v>
      </c>
      <c r="G5" s="194">
        <v>0</v>
      </c>
      <c r="H5" s="193">
        <v>1</v>
      </c>
      <c r="I5" s="191">
        <v>2.7</v>
      </c>
      <c r="J5" s="194">
        <v>0</v>
      </c>
      <c r="K5" s="191">
        <v>0</v>
      </c>
      <c r="L5" s="191">
        <v>2.1</v>
      </c>
      <c r="M5" s="194">
        <v>0</v>
      </c>
    </row>
    <row r="6" spans="1:13" x14ac:dyDescent="0.25">
      <c r="A6" s="81" t="s">
        <v>88</v>
      </c>
      <c r="B6" s="193">
        <v>-1.5</v>
      </c>
      <c r="C6" s="191">
        <v>0</v>
      </c>
      <c r="D6" s="194">
        <v>0</v>
      </c>
      <c r="E6" s="193">
        <v>-0.5</v>
      </c>
      <c r="F6" s="191">
        <v>0</v>
      </c>
      <c r="G6" s="194">
        <v>0</v>
      </c>
      <c r="H6" s="193">
        <v>-0.5</v>
      </c>
      <c r="I6" s="191">
        <v>0</v>
      </c>
      <c r="J6" s="194">
        <v>0</v>
      </c>
      <c r="K6" s="191">
        <v>0</v>
      </c>
      <c r="L6" s="191">
        <v>0</v>
      </c>
      <c r="M6" s="194">
        <v>0</v>
      </c>
    </row>
    <row r="7" spans="1:13" s="68" customFormat="1" x14ac:dyDescent="0.25">
      <c r="A7" s="81" t="s">
        <v>89</v>
      </c>
      <c r="B7" s="193">
        <v>0</v>
      </c>
      <c r="C7" s="191">
        <v>-1</v>
      </c>
      <c r="D7" s="194">
        <v>1</v>
      </c>
      <c r="E7" s="193">
        <v>0</v>
      </c>
      <c r="F7" s="191">
        <v>-1</v>
      </c>
      <c r="G7" s="194">
        <v>1</v>
      </c>
      <c r="H7" s="193">
        <v>0</v>
      </c>
      <c r="I7" s="191">
        <v>-1</v>
      </c>
      <c r="J7" s="194">
        <v>1</v>
      </c>
      <c r="K7" s="191">
        <v>0</v>
      </c>
      <c r="L7" s="191">
        <v>-1</v>
      </c>
      <c r="M7" s="194">
        <v>1</v>
      </c>
    </row>
    <row r="8" spans="1:13" s="68" customFormat="1" x14ac:dyDescent="0.25">
      <c r="A8" s="81" t="s">
        <v>90</v>
      </c>
      <c r="B8" s="193">
        <v>0</v>
      </c>
      <c r="C8" s="191">
        <v>0</v>
      </c>
      <c r="D8" s="194">
        <v>0</v>
      </c>
      <c r="E8" s="193">
        <v>0</v>
      </c>
      <c r="F8" s="191">
        <v>0</v>
      </c>
      <c r="G8" s="194">
        <v>0</v>
      </c>
      <c r="H8" s="193">
        <v>0</v>
      </c>
      <c r="I8" s="191">
        <v>0</v>
      </c>
      <c r="J8" s="194">
        <v>0</v>
      </c>
      <c r="K8" s="191">
        <v>0</v>
      </c>
      <c r="L8" s="191">
        <v>0</v>
      </c>
      <c r="M8" s="194">
        <v>0</v>
      </c>
    </row>
    <row r="9" spans="1:13" x14ac:dyDescent="0.25">
      <c r="A9" s="81" t="s">
        <v>91</v>
      </c>
      <c r="B9" s="193">
        <v>0</v>
      </c>
      <c r="C9" s="191">
        <v>0</v>
      </c>
      <c r="D9" s="194">
        <v>0</v>
      </c>
      <c r="E9" s="193">
        <v>0</v>
      </c>
      <c r="F9" s="191">
        <v>0</v>
      </c>
      <c r="G9" s="194">
        <v>0</v>
      </c>
      <c r="H9" s="193">
        <v>0</v>
      </c>
      <c r="I9" s="191">
        <v>0</v>
      </c>
      <c r="J9" s="194">
        <v>0</v>
      </c>
      <c r="K9" s="191">
        <v>0</v>
      </c>
      <c r="L9" s="191">
        <v>0</v>
      </c>
      <c r="M9" s="194">
        <v>0</v>
      </c>
    </row>
    <row r="10" spans="1:13" x14ac:dyDescent="0.25">
      <c r="A10" s="220" t="s">
        <v>92</v>
      </c>
      <c r="B10" s="195">
        <v>0</v>
      </c>
      <c r="C10" s="196">
        <v>0</v>
      </c>
      <c r="D10" s="197">
        <v>0</v>
      </c>
      <c r="E10" s="195">
        <v>0</v>
      </c>
      <c r="F10" s="196">
        <v>0</v>
      </c>
      <c r="G10" s="197">
        <v>0</v>
      </c>
      <c r="H10" s="195">
        <v>0</v>
      </c>
      <c r="I10" s="196">
        <v>0</v>
      </c>
      <c r="J10" s="197">
        <v>0</v>
      </c>
      <c r="K10" s="196">
        <v>1</v>
      </c>
      <c r="L10" s="196">
        <v>0</v>
      </c>
      <c r="M10" s="197">
        <v>0</v>
      </c>
    </row>
    <row r="11" spans="1:13" x14ac:dyDescent="0.25">
      <c r="A11" s="81" t="s">
        <v>93</v>
      </c>
      <c r="B11" s="193">
        <v>1</v>
      </c>
      <c r="C11" s="191">
        <v>1.0999999999999999</v>
      </c>
      <c r="D11" s="194">
        <v>0</v>
      </c>
      <c r="E11" s="190">
        <v>0</v>
      </c>
      <c r="F11" s="198">
        <v>0.19999999999999973</v>
      </c>
      <c r="G11" s="192">
        <v>0</v>
      </c>
      <c r="H11" s="190">
        <v>0</v>
      </c>
      <c r="I11" s="198">
        <v>0.19999999999999973</v>
      </c>
      <c r="J11" s="192">
        <v>0</v>
      </c>
      <c r="K11" s="191">
        <v>2</v>
      </c>
      <c r="L11" s="191">
        <v>0.4</v>
      </c>
      <c r="M11" s="194">
        <v>0</v>
      </c>
    </row>
    <row r="12" spans="1:13" x14ac:dyDescent="0.25">
      <c r="A12" s="81" t="s">
        <v>18</v>
      </c>
      <c r="B12" s="193">
        <v>1</v>
      </c>
      <c r="C12" s="191">
        <v>-1</v>
      </c>
      <c r="D12" s="194">
        <v>0</v>
      </c>
      <c r="E12" s="193">
        <v>0</v>
      </c>
      <c r="F12" s="191">
        <v>-1</v>
      </c>
      <c r="G12" s="194">
        <v>0</v>
      </c>
      <c r="H12" s="193">
        <v>0</v>
      </c>
      <c r="I12" s="191">
        <v>-1</v>
      </c>
      <c r="J12" s="194">
        <v>0</v>
      </c>
      <c r="K12" s="191">
        <v>0</v>
      </c>
      <c r="L12" s="191">
        <v>-1</v>
      </c>
      <c r="M12" s="194">
        <v>0</v>
      </c>
    </row>
    <row r="13" spans="1:13" x14ac:dyDescent="0.25">
      <c r="A13" s="78" t="s">
        <v>78</v>
      </c>
      <c r="B13" s="190">
        <v>0</v>
      </c>
      <c r="C13" s="198">
        <v>1</v>
      </c>
      <c r="D13" s="192">
        <v>-1</v>
      </c>
      <c r="E13" s="190">
        <v>0</v>
      </c>
      <c r="F13" s="198">
        <v>0</v>
      </c>
      <c r="G13" s="192">
        <v>0</v>
      </c>
      <c r="H13" s="190">
        <v>0</v>
      </c>
      <c r="I13" s="198">
        <v>0</v>
      </c>
      <c r="J13" s="192">
        <v>0</v>
      </c>
      <c r="K13" s="198">
        <v>0</v>
      </c>
      <c r="L13" s="198">
        <v>0</v>
      </c>
      <c r="M13" s="192">
        <v>0</v>
      </c>
    </row>
    <row r="14" spans="1:13" x14ac:dyDescent="0.25">
      <c r="A14" s="81" t="s">
        <v>80</v>
      </c>
      <c r="B14" s="193">
        <v>0</v>
      </c>
      <c r="C14" s="191">
        <v>0</v>
      </c>
      <c r="D14" s="194">
        <v>0</v>
      </c>
      <c r="E14" s="193">
        <v>0</v>
      </c>
      <c r="F14" s="191">
        <v>1</v>
      </c>
      <c r="G14" s="194">
        <v>-1</v>
      </c>
      <c r="H14" s="193">
        <v>0</v>
      </c>
      <c r="I14" s="191">
        <v>0</v>
      </c>
      <c r="J14" s="194">
        <v>0</v>
      </c>
      <c r="K14" s="191">
        <v>0</v>
      </c>
      <c r="L14" s="191">
        <v>0</v>
      </c>
      <c r="M14" s="194">
        <v>0</v>
      </c>
    </row>
    <row r="15" spans="1:13" x14ac:dyDescent="0.25">
      <c r="A15" s="81" t="s">
        <v>82</v>
      </c>
      <c r="B15" s="193">
        <v>0</v>
      </c>
      <c r="C15" s="191">
        <v>0</v>
      </c>
      <c r="D15" s="194">
        <v>0</v>
      </c>
      <c r="E15" s="193">
        <v>0</v>
      </c>
      <c r="F15" s="191">
        <v>0</v>
      </c>
      <c r="G15" s="194">
        <v>0</v>
      </c>
      <c r="H15" s="193">
        <v>0</v>
      </c>
      <c r="I15" s="191">
        <v>1</v>
      </c>
      <c r="J15" s="194">
        <v>-1</v>
      </c>
      <c r="K15" s="191">
        <v>0</v>
      </c>
      <c r="L15" s="191">
        <v>0</v>
      </c>
      <c r="M15" s="194">
        <v>0</v>
      </c>
    </row>
    <row r="16" spans="1:13" x14ac:dyDescent="0.25">
      <c r="A16" s="220" t="s">
        <v>83</v>
      </c>
      <c r="B16" s="195">
        <v>0</v>
      </c>
      <c r="C16" s="196">
        <v>0</v>
      </c>
      <c r="D16" s="197">
        <v>0</v>
      </c>
      <c r="E16" s="195">
        <v>0</v>
      </c>
      <c r="F16" s="196">
        <v>0</v>
      </c>
      <c r="G16" s="197">
        <v>0</v>
      </c>
      <c r="H16" s="195">
        <v>0</v>
      </c>
      <c r="I16" s="196">
        <v>0</v>
      </c>
      <c r="J16" s="197">
        <v>0</v>
      </c>
      <c r="K16" s="196">
        <v>0</v>
      </c>
      <c r="L16" s="196">
        <v>1</v>
      </c>
      <c r="M16" s="197">
        <v>-1</v>
      </c>
    </row>
  </sheetData>
  <mergeCells count="4">
    <mergeCell ref="B1:D1"/>
    <mergeCell ref="E1:G1"/>
    <mergeCell ref="H1:J1"/>
    <mergeCell ref="K1:M1"/>
  </mergeCells>
  <conditionalFormatting sqref="C3:C7 B10:C12 E3:F7 E10:F12 G10:G13 B13:F13 J10:J13 H13:I13 K13:M13 B14:M14 B16:M16">
    <cfRule type="cellIs" dxfId="58" priority="72" operator="equal">
      <formula>0</formula>
    </cfRule>
  </conditionalFormatting>
  <conditionalFormatting sqref="B15:D15">
    <cfRule type="cellIs" dxfId="57" priority="50" operator="equal">
      <formula>0</formula>
    </cfRule>
  </conditionalFormatting>
  <conditionalFormatting sqref="G15">
    <cfRule type="cellIs" dxfId="56" priority="39" operator="equal">
      <formula>0</formula>
    </cfRule>
  </conditionalFormatting>
  <conditionalFormatting sqref="G3">
    <cfRule type="cellIs" dxfId="55" priority="38" operator="equal">
      <formula>0</formula>
    </cfRule>
  </conditionalFormatting>
  <conditionalFormatting sqref="D10:D12">
    <cfRule type="cellIs" dxfId="54" priority="51" operator="equal">
      <formula>0</formula>
    </cfRule>
  </conditionalFormatting>
  <conditionalFormatting sqref="E15:F15">
    <cfRule type="cellIs" dxfId="53" priority="48" operator="equal">
      <formula>0</formula>
    </cfRule>
  </conditionalFormatting>
  <conditionalFormatting sqref="D9">
    <cfRule type="cellIs" dxfId="52" priority="34" operator="equal">
      <formula>0</formula>
    </cfRule>
  </conditionalFormatting>
  <conditionalFormatting sqref="B3:B7">
    <cfRule type="cellIs" dxfId="51" priority="45" operator="equal">
      <formula>0</formula>
    </cfRule>
  </conditionalFormatting>
  <conditionalFormatting sqref="D3">
    <cfRule type="cellIs" dxfId="50" priority="44" operator="equal">
      <formula>0</formula>
    </cfRule>
  </conditionalFormatting>
  <conditionalFormatting sqref="D4:D7">
    <cfRule type="cellIs" dxfId="49" priority="43" operator="equal">
      <formula>0</formula>
    </cfRule>
  </conditionalFormatting>
  <conditionalFormatting sqref="G4:G7">
    <cfRule type="cellIs" dxfId="48" priority="37" operator="equal">
      <formula>0</formula>
    </cfRule>
  </conditionalFormatting>
  <conditionalFormatting sqref="B9">
    <cfRule type="cellIs" dxfId="47" priority="36" operator="equal">
      <formula>0</formula>
    </cfRule>
  </conditionalFormatting>
  <conditionalFormatting sqref="C9">
    <cfRule type="cellIs" dxfId="46" priority="35" operator="equal">
      <formula>0</formula>
    </cfRule>
  </conditionalFormatting>
  <conditionalFormatting sqref="E9">
    <cfRule type="cellIs" dxfId="45" priority="33" operator="equal">
      <formula>0</formula>
    </cfRule>
  </conditionalFormatting>
  <conditionalFormatting sqref="F9">
    <cfRule type="cellIs" dxfId="44" priority="32" operator="equal">
      <formula>0</formula>
    </cfRule>
  </conditionalFormatting>
  <conditionalFormatting sqref="G9">
    <cfRule type="cellIs" dxfId="43" priority="31" operator="equal">
      <formula>0</formula>
    </cfRule>
  </conditionalFormatting>
  <conditionalFormatting sqref="B8">
    <cfRule type="cellIs" dxfId="42" priority="30" operator="equal">
      <formula>0</formula>
    </cfRule>
  </conditionalFormatting>
  <conditionalFormatting sqref="C8">
    <cfRule type="cellIs" dxfId="41" priority="29" operator="equal">
      <formula>0</formula>
    </cfRule>
  </conditionalFormatting>
  <conditionalFormatting sqref="D8">
    <cfRule type="cellIs" dxfId="40" priority="28" operator="equal">
      <formula>0</formula>
    </cfRule>
  </conditionalFormatting>
  <conditionalFormatting sqref="E8">
    <cfRule type="cellIs" dxfId="39" priority="27" operator="equal">
      <formula>0</formula>
    </cfRule>
  </conditionalFormatting>
  <conditionalFormatting sqref="F8">
    <cfRule type="cellIs" dxfId="38" priority="26" operator="equal">
      <formula>0</formula>
    </cfRule>
  </conditionalFormatting>
  <conditionalFormatting sqref="G8">
    <cfRule type="cellIs" dxfId="37" priority="25" operator="equal">
      <formula>0</formula>
    </cfRule>
  </conditionalFormatting>
  <conditionalFormatting sqref="H3:I7 H10:I12">
    <cfRule type="cellIs" dxfId="36" priority="24" operator="equal">
      <formula>0</formula>
    </cfRule>
  </conditionalFormatting>
  <conditionalFormatting sqref="J15">
    <cfRule type="cellIs" dxfId="35" priority="21" operator="equal">
      <formula>0</formula>
    </cfRule>
  </conditionalFormatting>
  <conditionalFormatting sqref="J3">
    <cfRule type="cellIs" dxfId="34" priority="20" operator="equal">
      <formula>0</formula>
    </cfRule>
  </conditionalFormatting>
  <conditionalFormatting sqref="H15:I15">
    <cfRule type="cellIs" dxfId="33" priority="22" operator="equal">
      <formula>0</formula>
    </cfRule>
  </conditionalFormatting>
  <conditionalFormatting sqref="J4:J7">
    <cfRule type="cellIs" dxfId="32" priority="19" operator="equal">
      <formula>0</formula>
    </cfRule>
  </conditionalFormatting>
  <conditionalFormatting sqref="H9">
    <cfRule type="cellIs" dxfId="31" priority="18" operator="equal">
      <formula>0</formula>
    </cfRule>
  </conditionalFormatting>
  <conditionalFormatting sqref="I9">
    <cfRule type="cellIs" dxfId="30" priority="17" operator="equal">
      <formula>0</formula>
    </cfRule>
  </conditionalFormatting>
  <conditionalFormatting sqref="J9">
    <cfRule type="cellIs" dxfId="29" priority="16" operator="equal">
      <formula>0</formula>
    </cfRule>
  </conditionalFormatting>
  <conditionalFormatting sqref="H8">
    <cfRule type="cellIs" dxfId="28" priority="15" operator="equal">
      <formula>0</formula>
    </cfRule>
  </conditionalFormatting>
  <conditionalFormatting sqref="I8">
    <cfRule type="cellIs" dxfId="27" priority="14" operator="equal">
      <formula>0</formula>
    </cfRule>
  </conditionalFormatting>
  <conditionalFormatting sqref="J8">
    <cfRule type="cellIs" dxfId="26" priority="13" operator="equal">
      <formula>0</formula>
    </cfRule>
  </conditionalFormatting>
  <conditionalFormatting sqref="L3:L7 K10:L12">
    <cfRule type="cellIs" dxfId="25" priority="12" operator="equal">
      <formula>0</formula>
    </cfRule>
  </conditionalFormatting>
  <conditionalFormatting sqref="K15:M15">
    <cfRule type="cellIs" dxfId="24" priority="10" operator="equal">
      <formula>0</formula>
    </cfRule>
  </conditionalFormatting>
  <conditionalFormatting sqref="M10:M12">
    <cfRule type="cellIs" dxfId="23" priority="11" operator="equal">
      <formula>0</formula>
    </cfRule>
  </conditionalFormatting>
  <conditionalFormatting sqref="M9">
    <cfRule type="cellIs" dxfId="22" priority="4" operator="equal">
      <formula>0</formula>
    </cfRule>
  </conditionalFormatting>
  <conditionalFormatting sqref="K3:K7">
    <cfRule type="cellIs" dxfId="21" priority="9" operator="equal">
      <formula>0</formula>
    </cfRule>
  </conditionalFormatting>
  <conditionalFormatting sqref="M3">
    <cfRule type="cellIs" dxfId="20" priority="8" operator="equal">
      <formula>0</formula>
    </cfRule>
  </conditionalFormatting>
  <conditionalFormatting sqref="M4:M7">
    <cfRule type="cellIs" dxfId="19" priority="7" operator="equal">
      <formula>0</formula>
    </cfRule>
  </conditionalFormatting>
  <conditionalFormatting sqref="K9">
    <cfRule type="cellIs" dxfId="18" priority="6" operator="equal">
      <formula>0</formula>
    </cfRule>
  </conditionalFormatting>
  <conditionalFormatting sqref="L9">
    <cfRule type="cellIs" dxfId="17" priority="5" operator="equal">
      <formula>0</formula>
    </cfRule>
  </conditionalFormatting>
  <conditionalFormatting sqref="K8">
    <cfRule type="cellIs" dxfId="16" priority="3" operator="equal">
      <formula>0</formula>
    </cfRule>
  </conditionalFormatting>
  <conditionalFormatting sqref="L8">
    <cfRule type="cellIs" dxfId="15" priority="2" operator="equal">
      <formula>0</formula>
    </cfRule>
  </conditionalFormatting>
  <conditionalFormatting sqref="M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27" sqref="B27"/>
    </sheetView>
  </sheetViews>
  <sheetFormatPr defaultColWidth="11.44140625" defaultRowHeight="13.2" x14ac:dyDescent="0.25"/>
  <cols>
    <col min="1" max="2" width="11.44140625" style="62"/>
    <col min="3" max="3" width="7.5546875" style="62" customWidth="1"/>
    <col min="4" max="4" width="3" style="62" customWidth="1"/>
    <col min="5" max="6" width="11.44140625" style="62"/>
    <col min="7" max="7" width="12" style="62" bestFit="1" customWidth="1"/>
    <col min="8" max="16384" width="11.44140625" style="62"/>
  </cols>
  <sheetData>
    <row r="1" spans="1:7" x14ac:dyDescent="0.25">
      <c r="A1" s="78" t="s">
        <v>79</v>
      </c>
      <c r="B1" s="180">
        <v>1E-10</v>
      </c>
      <c r="C1" s="79" t="s">
        <v>94</v>
      </c>
      <c r="D1" s="80" t="s">
        <v>95</v>
      </c>
      <c r="E1" s="88"/>
      <c r="F1" s="88"/>
      <c r="G1" s="88"/>
    </row>
    <row r="2" spans="1:7" x14ac:dyDescent="0.25">
      <c r="A2" s="81" t="s">
        <v>81</v>
      </c>
      <c r="B2" s="180">
        <v>1E-10</v>
      </c>
      <c r="C2" s="82" t="s">
        <v>94</v>
      </c>
      <c r="D2" s="83" t="s">
        <v>95</v>
      </c>
      <c r="E2" s="88"/>
      <c r="F2" s="88"/>
      <c r="G2" s="88"/>
    </row>
    <row r="3" spans="1:7" x14ac:dyDescent="0.25">
      <c r="A3" s="81" t="s">
        <v>87</v>
      </c>
      <c r="B3" s="180">
        <v>1E-10</v>
      </c>
      <c r="C3" s="82" t="s">
        <v>94</v>
      </c>
      <c r="D3" s="83" t="s">
        <v>95</v>
      </c>
      <c r="E3" s="88"/>
      <c r="F3" s="88"/>
      <c r="G3" s="88"/>
    </row>
    <row r="4" spans="1:7" x14ac:dyDescent="0.25">
      <c r="A4" s="81" t="s">
        <v>88</v>
      </c>
      <c r="B4" s="180">
        <v>1E-10</v>
      </c>
      <c r="C4" s="82" t="s">
        <v>94</v>
      </c>
      <c r="D4" s="83" t="s">
        <v>95</v>
      </c>
      <c r="E4" s="88"/>
      <c r="F4" s="88"/>
      <c r="G4" s="88"/>
    </row>
    <row r="5" spans="1:7" x14ac:dyDescent="0.25">
      <c r="A5" s="81" t="s">
        <v>89</v>
      </c>
      <c r="B5" s="180">
        <v>1E-10</v>
      </c>
      <c r="C5" s="82" t="s">
        <v>94</v>
      </c>
      <c r="D5" s="83" t="s">
        <v>95</v>
      </c>
      <c r="E5" s="88"/>
      <c r="F5" s="88"/>
      <c r="G5" s="88"/>
    </row>
    <row r="6" spans="1:7" x14ac:dyDescent="0.25">
      <c r="A6" s="69" t="s">
        <v>90</v>
      </c>
      <c r="B6" s="180">
        <f>B1/2</f>
        <v>5.0000000000000002E-11</v>
      </c>
      <c r="C6" s="86" t="s">
        <v>94</v>
      </c>
      <c r="D6" s="200" t="s">
        <v>95</v>
      </c>
      <c r="E6" s="88"/>
      <c r="F6" s="88"/>
      <c r="G6" s="88"/>
    </row>
    <row r="7" spans="1:7" x14ac:dyDescent="0.25">
      <c r="A7" s="66" t="s">
        <v>91</v>
      </c>
      <c r="B7" s="216">
        <v>1E-10</v>
      </c>
      <c r="C7" s="84" t="s">
        <v>94</v>
      </c>
      <c r="D7" s="80" t="s">
        <v>21</v>
      </c>
      <c r="E7" s="88"/>
      <c r="F7" s="88"/>
      <c r="G7" s="88"/>
    </row>
    <row r="8" spans="1:7" x14ac:dyDescent="0.25">
      <c r="A8" s="205" t="s">
        <v>92</v>
      </c>
      <c r="B8" s="216">
        <v>1</v>
      </c>
      <c r="C8" s="79" t="s">
        <v>96</v>
      </c>
      <c r="D8" s="80" t="s">
        <v>97</v>
      </c>
      <c r="E8" s="88"/>
      <c r="F8" s="88"/>
      <c r="G8" s="88"/>
    </row>
    <row r="9" spans="1:7" x14ac:dyDescent="0.25">
      <c r="A9" s="66" t="s">
        <v>78</v>
      </c>
      <c r="B9" s="221">
        <v>0</v>
      </c>
      <c r="C9" s="217" t="s">
        <v>94</v>
      </c>
      <c r="D9" s="85" t="s">
        <v>22</v>
      </c>
      <c r="E9" s="88"/>
      <c r="F9" s="88"/>
      <c r="G9" s="88"/>
    </row>
    <row r="10" spans="1:7" x14ac:dyDescent="0.25">
      <c r="A10" s="67" t="s">
        <v>80</v>
      </c>
      <c r="B10" s="221">
        <v>0</v>
      </c>
      <c r="C10" s="218" t="s">
        <v>94</v>
      </c>
      <c r="D10" s="89" t="s">
        <v>22</v>
      </c>
      <c r="E10" s="88"/>
      <c r="F10" s="88"/>
      <c r="G10" s="88"/>
    </row>
    <row r="11" spans="1:7" x14ac:dyDescent="0.25">
      <c r="A11" s="67" t="s">
        <v>82</v>
      </c>
      <c r="B11" s="221">
        <v>0</v>
      </c>
      <c r="C11" s="218" t="s">
        <v>94</v>
      </c>
      <c r="D11" s="89" t="s">
        <v>22</v>
      </c>
      <c r="E11" s="88"/>
      <c r="F11" s="88"/>
      <c r="G11" s="88"/>
    </row>
    <row r="12" spans="1:7" x14ac:dyDescent="0.25">
      <c r="A12" s="69" t="s">
        <v>83</v>
      </c>
      <c r="B12" s="159">
        <v>0</v>
      </c>
      <c r="C12" s="219" t="s">
        <v>94</v>
      </c>
      <c r="D12" s="87" t="s">
        <v>22</v>
      </c>
      <c r="E12" s="88"/>
      <c r="F12" s="88"/>
      <c r="G12" s="88"/>
    </row>
    <row r="14" spans="1:7" x14ac:dyDescent="0.25">
      <c r="A14" s="88"/>
      <c r="B14" s="88"/>
      <c r="C14" s="88"/>
      <c r="D14" s="88"/>
      <c r="E14" s="88"/>
      <c r="F14" s="88"/>
      <c r="G14" s="2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</vt:lpstr>
      <vt:lpstr>Reactions</vt:lpstr>
      <vt:lpstr>Settings</vt:lpstr>
      <vt:lpstr>Ks</vt:lpstr>
      <vt:lpstr>Ki</vt:lpstr>
      <vt:lpstr>Yield</vt:lpstr>
      <vt:lpstr>Parameters</vt:lpstr>
      <vt:lpstr>ReactionMatrix</vt:lpstr>
      <vt:lpstr>States</vt:lpstr>
      <vt:lpstr>Influent</vt:lpstr>
      <vt:lpstr>ThermoParam</vt:lpstr>
      <vt:lpstr>Bacteria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Eloi Martínez-Rabert (PGR)</cp:lastModifiedBy>
  <cp:revision/>
  <dcterms:created xsi:type="dcterms:W3CDTF">2008-02-06T12:16:03Z</dcterms:created>
  <dcterms:modified xsi:type="dcterms:W3CDTF">2021-11-09T10:46:01Z</dcterms:modified>
  <cp:category/>
  <cp:contentStatus/>
</cp:coreProperties>
</file>