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i\Desktop\An_Control_B3_b=0.1·umax\"/>
    </mc:Choice>
  </mc:AlternateContent>
  <xr:revisionPtr revIDLastSave="0" documentId="13_ncr:1_{BA319159-9202-40F4-B821-3EFC70A7E4F9}" xr6:coauthVersionLast="45" xr6:coauthVersionMax="45" xr10:uidLastSave="{00000000-0000-0000-0000-000000000000}"/>
  <bookViews>
    <workbookView xWindow="28680" yWindow="-120" windowWidth="29040" windowHeight="17640" tabRatio="808" firstSheet="1" activeTab="1" xr2:uid="{00000000-000D-0000-FFFF-FFFF00000000}"/>
  </bookViews>
  <sheets>
    <sheet name="Reactions" sheetId="18" state="hidden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5" l="1"/>
  <c r="B6" i="25" l="1"/>
  <c r="B3" i="13" l="1"/>
  <c r="B5" i="27"/>
  <c r="B11" i="25"/>
  <c r="B9" i="27" l="1"/>
  <c r="B1" i="23" l="1"/>
  <c r="B1" i="26"/>
  <c r="B1" i="28" l="1"/>
  <c r="B10" i="25"/>
  <c r="B8" i="25"/>
  <c r="B7" i="27"/>
  <c r="B6" i="27"/>
  <c r="B3" i="25"/>
  <c r="B1" i="25"/>
  <c r="B2" i="25" s="1"/>
  <c r="B2" i="13" l="1"/>
  <c r="C3" i="13"/>
  <c r="E3" i="13" s="1"/>
  <c r="C2" i="13"/>
  <c r="E2" i="13" s="1"/>
  <c r="B8" i="27" l="1"/>
  <c r="B4" i="25"/>
  <c r="B3" i="27" l="1"/>
  <c r="B1" i="27" s="1"/>
  <c r="B4" i="27"/>
  <c r="B2" i="27" s="1"/>
  <c r="B2" i="26"/>
  <c r="B7" i="26" l="1"/>
  <c r="B10" i="26" s="1"/>
  <c r="B3" i="26" l="1"/>
  <c r="AI12" i="18" l="1"/>
  <c r="V4" i="18" l="1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B6" i="26" l="1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AI21" i="18" l="1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V7" i="18"/>
  <c r="V8" i="18"/>
  <c r="Z8" i="18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Z5" i="18"/>
  <c r="Z6" i="18"/>
  <c r="Z12" i="18"/>
  <c r="Z13" i="18"/>
  <c r="Z14" i="18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V12" i="18"/>
  <c r="V6" i="18"/>
  <c r="V5" i="18"/>
  <c r="AD15" i="18"/>
  <c r="X19" i="18"/>
  <c r="X16" i="18"/>
  <c r="X20" i="18"/>
  <c r="X25" i="18"/>
  <c r="X26" i="18" s="1"/>
  <c r="X17" i="18"/>
  <c r="X21" i="18"/>
  <c r="AA16" i="18" l="1"/>
  <c r="AA19" i="18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  <c r="B1" i="22" l="1"/>
</calcChain>
</file>

<file path=xl/sharedStrings.xml><?xml version="1.0" encoding="utf-8"?>
<sst xmlns="http://schemas.openxmlformats.org/spreadsheetml/2006/main" count="259" uniqueCount="133">
  <si>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</si>
  <si>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</si>
  <si>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</si>
  <si>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</si>
  <si>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</si>
  <si>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</si>
  <si>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</si>
  <si>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</si>
  <si>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</si>
  <si>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</si>
  <si>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</si>
  <si>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</si>
  <si>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</si>
  <si>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</si>
  <si>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NH3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</si>
  <si>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</si>
  <si>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</si>
  <si>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</si>
  <si>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</si>
  <si>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</si>
  <si>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</si>
  <si>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</si>
  <si>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</si>
  <si>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</si>
  <si>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</si>
  <si>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</si>
  <si>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</si>
  <si>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</si>
  <si>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</si>
  <si>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</si>
  <si>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</si>
  <si>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</si>
  <si>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</si>
  <si>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</si>
  <si>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</si>
  <si>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</si>
  <si>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</si>
  <si>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</si>
  <si>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</si>
  <si>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</si>
  <si>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</si>
  <si>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</si>
  <si>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</si>
  <si>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</si>
  <si>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</si>
  <si>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</si>
  <si>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</si>
  <si>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</si>
  <si>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</si>
  <si>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</si>
  <si>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</si>
  <si>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</si>
  <si>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</si>
  <si>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</si>
  <si>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</si>
  <si>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</si>
  <si>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</si>
  <si>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</si>
  <si>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</si>
  <si>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</si>
  <si>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</si>
  <si>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</si>
  <si>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</si>
  <si>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</si>
  <si>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</si>
  <si>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</si>
  <si>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</si>
  <si>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</si>
  <si>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</si>
  <si>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Comammox</t>
  </si>
  <si>
    <t>muAOB</t>
  </si>
  <si>
    <t>muNOB</t>
  </si>
  <si>
    <t>bAOB</t>
  </si>
  <si>
    <t>bNOB</t>
  </si>
  <si>
    <t>mol/L</t>
  </si>
  <si>
    <t>L</t>
  </si>
  <si>
    <t>bar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</si>
  <si>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</si>
  <si>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</si>
  <si>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</si>
  <si>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</si>
  <si>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</si>
  <si>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</si>
  <si>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</si>
  <si>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</si>
  <si>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</si>
  <si>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</si>
  <si>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</si>
  <si>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</si>
  <si>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</si>
  <si>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</si>
  <si>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</si>
  <si>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</si>
  <si>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</si>
  <si>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</si>
  <si>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</si>
  <si>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</si>
  <si>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</si>
  <si>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</si>
  <si>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</si>
  <si>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</si>
  <si>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</si>
  <si>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</si>
  <si>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</si>
  <si>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</si>
  <si>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</si>
  <si>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</si>
  <si>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</si>
  <si>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</si>
  <si>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</si>
  <si>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</si>
  <si>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</si>
  <si>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</si>
  <si>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</si>
  <si>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</si>
  <si>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</si>
  <si>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m2/h</t>
  </si>
  <si>
    <t>DECAY</t>
  </si>
  <si>
    <t>Tol_abs</t>
  </si>
  <si>
    <t>M</t>
  </si>
  <si>
    <t>%</t>
  </si>
  <si>
    <t>bac_ymax</t>
  </si>
  <si>
    <t>mu_max</t>
  </si>
  <si>
    <t>maint</t>
  </si>
  <si>
    <t>bac_ystart</t>
  </si>
  <si>
    <t>B1</t>
  </si>
  <si>
    <t>B2</t>
  </si>
  <si>
    <t>A</t>
  </si>
  <si>
    <t>Ks_A</t>
  </si>
  <si>
    <t>Diff_A</t>
  </si>
  <si>
    <t>Tol_r_A</t>
  </si>
  <si>
    <t>Ssp</t>
  </si>
  <si>
    <t>dT_Div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</si>
</sst>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22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7" fillId="0" borderId="0" xfId="0" applyFont="1"/>
    <xf numFmtId="0" fontId="28" fillId="2" borderId="14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11" fontId="23" fillId="0" borderId="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11" fontId="23" fillId="0" borderId="0" xfId="0" applyNumberFormat="1" applyFont="1"/>
    <xf numFmtId="11" fontId="23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6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0" fillId="9" borderId="28" xfId="0" applyFont="1" applyFill="1" applyBorder="1" applyAlignment="1">
      <alignment horizontal="center" vertical="center"/>
    </xf>
    <xf numFmtId="0" fontId="30" fillId="9" borderId="27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2" borderId="38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4" fillId="2" borderId="6" xfId="6" applyFont="1" applyFill="1" applyBorder="1" applyAlignment="1">
      <alignment horizontal="center"/>
    </xf>
    <xf numFmtId="0" fontId="28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5" fillId="10" borderId="41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5" fillId="10" borderId="42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4" xfId="0" applyBorder="1"/>
    <xf numFmtId="0" fontId="0" fillId="0" borderId="4" xfId="0" applyBorder="1"/>
    <xf numFmtId="0" fontId="0" fillId="0" borderId="37" xfId="0" applyBorder="1"/>
    <xf numFmtId="0" fontId="0" fillId="0" borderId="29" xfId="0" applyBorder="1"/>
    <xf numFmtId="0" fontId="0" fillId="0" borderId="32" xfId="0" applyBorder="1"/>
    <xf numFmtId="0" fontId="0" fillId="0" borderId="35" xfId="0" applyBorder="1"/>
    <xf numFmtId="0" fontId="0" fillId="0" borderId="38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0" fillId="0" borderId="22" xfId="6" applyNumberFormat="1" applyFont="1" applyBorder="1" applyAlignment="1">
      <alignment horizontal="center" vertical="center"/>
    </xf>
    <xf numFmtId="2" fontId="30" fillId="0" borderId="30" xfId="6" applyNumberFormat="1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0" fillId="0" borderId="6" xfId="6" applyNumberFormat="1" applyFont="1" applyBorder="1" applyAlignment="1">
      <alignment horizontal="center" vertical="center"/>
    </xf>
    <xf numFmtId="2" fontId="30" fillId="0" borderId="14" xfId="6" applyNumberFormat="1" applyFont="1" applyBorder="1" applyAlignment="1">
      <alignment horizontal="center" vertical="center"/>
    </xf>
    <xf numFmtId="2" fontId="30" fillId="0" borderId="34" xfId="6" applyNumberFormat="1" applyFont="1" applyBorder="1" applyAlignment="1">
      <alignment horizontal="center" vertical="center"/>
    </xf>
    <xf numFmtId="2" fontId="30" fillId="0" borderId="5" xfId="6" applyNumberFormat="1" applyFont="1" applyBorder="1" applyAlignment="1">
      <alignment horizontal="center" vertical="center"/>
    </xf>
    <xf numFmtId="2" fontId="30" fillId="0" borderId="36" xfId="6" applyNumberFormat="1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1" fontId="30" fillId="0" borderId="15" xfId="0" applyNumberFormat="1" applyFont="1" applyBorder="1" applyAlignment="1">
      <alignment horizontal="center" vertical="center"/>
    </xf>
    <xf numFmtId="1" fontId="30" fillId="0" borderId="14" xfId="0" applyNumberFormat="1" applyFont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45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2" fontId="30" fillId="2" borderId="21" xfId="0" applyNumberFormat="1" applyFont="1" applyFill="1" applyBorder="1" applyAlignment="1">
      <alignment horizontal="center" vertical="center"/>
    </xf>
    <xf numFmtId="2" fontId="30" fillId="2" borderId="40" xfId="0" applyNumberFormat="1" applyFont="1" applyFill="1" applyBorder="1" applyAlignment="1">
      <alignment horizontal="center" vertical="center"/>
    </xf>
    <xf numFmtId="2" fontId="30" fillId="2" borderId="16" xfId="0" applyNumberFormat="1" applyFont="1" applyFill="1" applyBorder="1" applyAlignment="1">
      <alignment horizontal="center" vertical="center"/>
    </xf>
    <xf numFmtId="2" fontId="30" fillId="2" borderId="12" xfId="0" applyNumberFormat="1" applyFont="1" applyFill="1" applyBorder="1" applyAlignment="1">
      <alignment horizontal="center" vertical="center"/>
    </xf>
    <xf numFmtId="2" fontId="30" fillId="2" borderId="14" xfId="0" applyNumberFormat="1" applyFont="1" applyFill="1" applyBorder="1" applyAlignment="1">
      <alignment horizontal="center" vertical="center"/>
    </xf>
    <xf numFmtId="2" fontId="30" fillId="2" borderId="34" xfId="0" applyNumberFormat="1" applyFont="1" applyFill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44" xfId="0" applyNumberFormat="1" applyFont="1" applyBorder="1" applyAlignment="1">
      <alignment horizontal="center" vertical="center"/>
    </xf>
    <xf numFmtId="0" fontId="30" fillId="2" borderId="14" xfId="0" applyNumberFormat="1" applyFont="1" applyFill="1" applyBorder="1" applyAlignment="1">
      <alignment horizontal="center" vertical="center"/>
    </xf>
    <xf numFmtId="171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30" fillId="2" borderId="1" xfId="0" applyNumberFormat="1" applyFont="1" applyFill="1" applyBorder="1" applyAlignment="1">
      <alignment horizontal="center" vertical="center"/>
    </xf>
    <xf numFmtId="2" fontId="30" fillId="2" borderId="2" xfId="0" applyNumberFormat="1" applyFont="1" applyFill="1" applyBorder="1" applyAlignment="1">
      <alignment horizontal="center" vertical="center"/>
    </xf>
    <xf numFmtId="2" fontId="30" fillId="2" borderId="15" xfId="0" applyNumberFormat="1" applyFont="1" applyFill="1" applyBorder="1" applyAlignment="1">
      <alignment horizontal="center" vertical="center"/>
    </xf>
    <xf numFmtId="0" fontId="30" fillId="2" borderId="2" xfId="0" applyNumberFormat="1" applyFont="1" applyFill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29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8"/>
  <sheetViews>
    <sheetView topLeftCell="V1" zoomScale="90" zoomScaleNormal="90" zoomScalePageLayoutView="125" workbookViewId="0">
      <selection activeCell="AE5" sqref="AE5"/>
    </sheetView>
  </sheetViews>
  <sheetFormatPr defaultColWidth="8.77734375" defaultRowHeight="14.4" x14ac:dyDescent="0.3"/>
  <cols>
    <col min="1" max="1" width="2.6640625" style="1" customWidth="1"/>
    <col min="2" max="2" width="46.77734375" style="1" customWidth="1"/>
    <col min="3" max="3" width="24.21875" style="1" customWidth="1"/>
    <col min="4" max="5" width="18.77734375" style="1" customWidth="1"/>
    <col min="6" max="6" width="7.77734375" style="1" customWidth="1"/>
    <col min="7" max="7" width="8" style="2" customWidth="1"/>
    <col min="8" max="8" width="8.77734375" style="1"/>
    <col min="9" max="9" width="15" style="1" customWidth="1"/>
    <col min="10" max="10" width="15.6640625" style="1" customWidth="1"/>
    <col min="11" max="11" width="6.109375" style="1" customWidth="1"/>
    <col min="12" max="12" width="4.77734375" style="1" customWidth="1"/>
    <col min="13" max="14" width="4.44140625" style="1" customWidth="1"/>
    <col min="15" max="15" width="5" style="1" customWidth="1"/>
    <col min="16" max="17" width="4.6640625" style="1" customWidth="1"/>
    <col min="18" max="18" width="7.44140625" style="1" customWidth="1"/>
    <col min="19" max="20" width="12.77734375" style="1" customWidth="1"/>
    <col min="21" max="21" width="15.6640625" style="1" customWidth="1"/>
    <col min="22" max="22" width="11.6640625" style="1" customWidth="1"/>
    <col min="23" max="24" width="12.21875" style="1" customWidth="1"/>
    <col min="25" max="25" width="15.21875" style="1" customWidth="1"/>
    <col min="26" max="26" width="11.44140625" style="1" customWidth="1"/>
    <col min="27" max="28" width="12.6640625" style="1" customWidth="1"/>
    <col min="29" max="29" width="15.6640625" style="1" customWidth="1"/>
    <col min="30" max="30" width="12.21875" style="1" customWidth="1"/>
    <col min="31" max="32" width="12.6640625" style="1" customWidth="1"/>
    <col min="33" max="33" width="15.6640625" style="1" customWidth="1"/>
    <col min="34" max="34" width="12.21875" style="1" customWidth="1"/>
    <col min="35" max="36" width="8.77734375" style="1"/>
    <col min="37" max="37" width="14.77734375" style="1" customWidth="1"/>
    <col min="38" max="16384" width="8.77734375" style="1"/>
  </cols>
  <sheetData>
    <row r="2" spans="2:40" ht="21.75" customHeight="1" x14ac:dyDescent="0.3">
      <c r="S2" s="209" t="s">
        <v>16</v>
      </c>
      <c r="T2" s="209"/>
      <c r="U2" s="209"/>
      <c r="V2" s="209"/>
      <c r="W2" s="209" t="s">
        <v>17</v>
      </c>
      <c r="X2" s="209"/>
      <c r="Y2" s="209"/>
      <c r="Z2" s="209"/>
      <c r="AA2" s="209" t="s">
        <v>66</v>
      </c>
      <c r="AB2" s="209"/>
      <c r="AC2" s="209"/>
      <c r="AD2" s="209"/>
      <c r="AE2" s="209" t="s">
        <v>68</v>
      </c>
      <c r="AF2" s="209"/>
      <c r="AG2" s="209"/>
      <c r="AH2" s="209"/>
      <c r="AK2" s="3" t="s">
        <v>18</v>
      </c>
      <c r="AL2" s="4" t="s">
        <v>19</v>
      </c>
      <c r="AM2" s="4" t="s">
        <v>20</v>
      </c>
      <c r="AN2" s="5" t="s">
        <v>21</v>
      </c>
    </row>
    <row r="3" spans="2:40" ht="19.2" x14ac:dyDescent="0.4">
      <c r="B3" s="6" t="s">
        <v>22</v>
      </c>
      <c r="C3" s="7" t="s">
        <v>23</v>
      </c>
      <c r="D3" s="7" t="s">
        <v>24</v>
      </c>
      <c r="E3" s="7" t="s">
        <v>25</v>
      </c>
      <c r="F3" s="8" t="s">
        <v>26</v>
      </c>
      <c r="G3" s="9" t="s">
        <v>13</v>
      </c>
      <c r="I3" s="10" t="s">
        <v>27</v>
      </c>
      <c r="J3" s="11" t="s">
        <v>28</v>
      </c>
      <c r="K3" s="12" t="s">
        <v>10</v>
      </c>
      <c r="L3" s="13" t="s">
        <v>29</v>
      </c>
      <c r="M3" s="13" t="s">
        <v>9</v>
      </c>
      <c r="N3" s="13" t="s">
        <v>30</v>
      </c>
      <c r="O3" s="13" t="s">
        <v>31</v>
      </c>
      <c r="P3" s="13" t="s">
        <v>0</v>
      </c>
      <c r="Q3" s="13" t="s">
        <v>3</v>
      </c>
      <c r="R3" s="14" t="s">
        <v>32</v>
      </c>
      <c r="S3" s="15" t="s">
        <v>33</v>
      </c>
      <c r="T3" s="16" t="s">
        <v>34</v>
      </c>
      <c r="U3" s="16" t="s">
        <v>35</v>
      </c>
      <c r="V3" s="17" t="s">
        <v>36</v>
      </c>
      <c r="W3" s="15" t="s">
        <v>33</v>
      </c>
      <c r="X3" s="16" t="s">
        <v>34</v>
      </c>
      <c r="Y3" s="16" t="s">
        <v>35</v>
      </c>
      <c r="Z3" s="17" t="s">
        <v>36</v>
      </c>
      <c r="AA3" s="15" t="s">
        <v>33</v>
      </c>
      <c r="AB3" s="16" t="s">
        <v>34</v>
      </c>
      <c r="AC3" s="16" t="s">
        <v>35</v>
      </c>
      <c r="AD3" s="17" t="s">
        <v>36</v>
      </c>
      <c r="AE3" s="15" t="s">
        <v>33</v>
      </c>
      <c r="AF3" s="16" t="s">
        <v>34</v>
      </c>
      <c r="AG3" s="16" t="s">
        <v>35</v>
      </c>
      <c r="AH3" s="17" t="s">
        <v>36</v>
      </c>
      <c r="AI3" s="146" t="s">
        <v>117</v>
      </c>
      <c r="AJ3" s="148"/>
      <c r="AK3" s="18" t="s">
        <v>37</v>
      </c>
      <c r="AL3" s="19" t="s">
        <v>38</v>
      </c>
      <c r="AM3" s="19">
        <v>96.484999999999999</v>
      </c>
      <c r="AN3" s="19" t="s">
        <v>39</v>
      </c>
    </row>
    <row r="4" spans="2:40" ht="15.6" x14ac:dyDescent="0.3">
      <c r="B4" s="20" t="s">
        <v>43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14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147"/>
      <c r="AK4" s="18" t="s">
        <v>40</v>
      </c>
      <c r="AL4" s="19" t="s">
        <v>41</v>
      </c>
      <c r="AM4" s="19">
        <v>8.3140000000000002E-3</v>
      </c>
      <c r="AN4" s="19" t="s">
        <v>6</v>
      </c>
    </row>
    <row r="5" spans="2:40" ht="15.6" x14ac:dyDescent="0.3">
      <c r="B5" s="20" t="s">
        <v>17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44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147"/>
      <c r="AK5" s="30" t="s">
        <v>42</v>
      </c>
      <c r="AL5" s="31" t="s">
        <v>1</v>
      </c>
      <c r="AM5" s="32">
        <v>298.14999999999998</v>
      </c>
      <c r="AN5" s="32" t="s">
        <v>2</v>
      </c>
    </row>
    <row r="6" spans="2:40" ht="15.6" x14ac:dyDescent="0.3">
      <c r="B6" s="20" t="s">
        <v>69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45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147"/>
      <c r="AK6" s="33"/>
      <c r="AL6" s="33"/>
      <c r="AM6" s="33"/>
      <c r="AN6" s="33"/>
    </row>
    <row r="7" spans="2:40" ht="15.6" x14ac:dyDescent="0.3">
      <c r="B7" s="20" t="s">
        <v>68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147"/>
    </row>
    <row r="8" spans="2:40" ht="15.6" x14ac:dyDescent="0.3">
      <c r="I8" s="39" t="s">
        <v>46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147"/>
    </row>
    <row r="9" spans="2:40" ht="15.6" x14ac:dyDescent="0.3">
      <c r="I9" s="39" t="s">
        <v>65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147"/>
    </row>
    <row r="10" spans="2:40" ht="15.6" x14ac:dyDescent="0.3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147"/>
    </row>
    <row r="11" spans="2:40" ht="15.6" x14ac:dyDescent="0.3">
      <c r="I11" s="39" t="s">
        <v>15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47"/>
    </row>
    <row r="12" spans="2:40" ht="19.8" x14ac:dyDescent="0.35">
      <c r="B12" s="67" t="s">
        <v>67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147"/>
    </row>
    <row r="13" spans="2:40" ht="15.6" x14ac:dyDescent="0.3">
      <c r="B13" s="32"/>
      <c r="E13" s="38"/>
      <c r="I13" s="29" t="s">
        <v>47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147"/>
    </row>
    <row r="14" spans="2:40" ht="15.6" x14ac:dyDescent="0.3">
      <c r="B14" s="32"/>
      <c r="E14" s="38"/>
      <c r="I14" s="29" t="s">
        <v>48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147"/>
    </row>
    <row r="15" spans="2:40" ht="19.8" thickBot="1" x14ac:dyDescent="0.45">
      <c r="B15" s="6" t="s">
        <v>22</v>
      </c>
      <c r="C15" s="7" t="s">
        <v>23</v>
      </c>
      <c r="D15" s="7" t="s">
        <v>24</v>
      </c>
      <c r="E15" s="7" t="s">
        <v>25</v>
      </c>
      <c r="F15" s="8" t="s">
        <v>26</v>
      </c>
      <c r="G15" s="9" t="s">
        <v>13</v>
      </c>
      <c r="I15" s="41" t="s">
        <v>49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147"/>
    </row>
    <row r="16" spans="2:40" ht="15.6" x14ac:dyDescent="0.3">
      <c r="B16" s="20" t="s">
        <v>43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10" t="s">
        <v>50</v>
      </c>
      <c r="K16" s="213" t="s">
        <v>51</v>
      </c>
      <c r="R16" s="47" t="s">
        <v>52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6" x14ac:dyDescent="0.3">
      <c r="B17" s="20" t="s">
        <v>17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11"/>
      <c r="K17" s="214"/>
      <c r="R17" s="50" t="s">
        <v>53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6" x14ac:dyDescent="0.3">
      <c r="B18" s="20" t="s">
        <v>63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11"/>
      <c r="K18" s="214"/>
      <c r="R18" s="50" t="s">
        <v>54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6" x14ac:dyDescent="0.3">
      <c r="B19" s="64"/>
      <c r="C19" s="64"/>
      <c r="D19" s="31"/>
      <c r="E19" s="31"/>
      <c r="F19" s="40"/>
      <c r="G19" s="63"/>
      <c r="J19" s="211"/>
      <c r="K19" s="214"/>
      <c r="R19" s="50" t="s">
        <v>55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6" x14ac:dyDescent="0.3">
      <c r="B20" s="64"/>
      <c r="C20" s="64"/>
      <c r="D20" s="31"/>
      <c r="E20" s="31"/>
      <c r="F20" s="31"/>
      <c r="G20" s="65"/>
      <c r="J20" s="211"/>
      <c r="K20" s="214"/>
      <c r="R20" s="50" t="s">
        <v>56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6" x14ac:dyDescent="0.3">
      <c r="B21" s="64"/>
      <c r="C21" s="64"/>
      <c r="D21" s="31"/>
      <c r="E21" s="31"/>
      <c r="F21" s="31"/>
      <c r="G21" s="65"/>
      <c r="J21" s="211"/>
      <c r="K21" s="214"/>
      <c r="R21" s="50" t="s">
        <v>57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6" x14ac:dyDescent="0.3">
      <c r="B22" s="64"/>
      <c r="C22" s="64"/>
      <c r="D22" s="31"/>
      <c r="E22" s="31"/>
      <c r="F22" s="31"/>
      <c r="G22" s="65"/>
      <c r="J22" s="211"/>
      <c r="K22" s="214"/>
      <c r="R22" s="52" t="s">
        <v>32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6" x14ac:dyDescent="0.3">
      <c r="B23" s="64"/>
      <c r="C23" s="64"/>
      <c r="D23" s="31"/>
      <c r="E23" s="31"/>
      <c r="F23" s="31"/>
      <c r="G23" s="65"/>
      <c r="J23" s="211"/>
      <c r="K23" s="214"/>
      <c r="V23" s="55" t="s">
        <v>58</v>
      </c>
      <c r="Z23" s="55" t="s">
        <v>58</v>
      </c>
      <c r="AD23" s="55" t="s">
        <v>58</v>
      </c>
      <c r="AH23" s="55" t="s">
        <v>58</v>
      </c>
    </row>
    <row r="24" spans="2:36" ht="15.6" x14ac:dyDescent="0.3">
      <c r="B24" s="64"/>
      <c r="C24" s="64"/>
      <c r="D24" s="31"/>
      <c r="E24" s="31"/>
      <c r="F24" s="31"/>
      <c r="G24" s="65"/>
      <c r="J24" s="211"/>
      <c r="K24" s="214"/>
    </row>
    <row r="25" spans="2:36" ht="17.399999999999999" x14ac:dyDescent="0.3">
      <c r="B25" s="64"/>
      <c r="C25" s="64"/>
      <c r="D25" s="31"/>
      <c r="E25" s="31"/>
      <c r="F25" s="31"/>
      <c r="G25" s="65"/>
      <c r="J25" s="211"/>
      <c r="K25" s="214"/>
      <c r="N25" s="216" t="s">
        <v>59</v>
      </c>
      <c r="O25" s="217"/>
      <c r="P25" s="217"/>
      <c r="Q25" s="218"/>
      <c r="R25" s="56" t="s">
        <v>60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3">
      <c r="B26" s="64"/>
      <c r="C26" s="64"/>
      <c r="D26" s="31"/>
      <c r="E26" s="31"/>
      <c r="F26" s="31"/>
      <c r="G26" s="65"/>
      <c r="J26" s="211"/>
      <c r="K26" s="214"/>
      <c r="N26" s="216" t="s">
        <v>61</v>
      </c>
      <c r="O26" s="217"/>
      <c r="P26" s="217"/>
      <c r="Q26" s="218"/>
      <c r="R26" s="59" t="s">
        <v>62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6" x14ac:dyDescent="0.3">
      <c r="B27" s="64"/>
      <c r="C27" s="64"/>
      <c r="D27" s="31"/>
      <c r="E27" s="31"/>
      <c r="F27" s="31"/>
      <c r="G27" s="65"/>
      <c r="J27" s="211"/>
      <c r="K27" s="214"/>
      <c r="O27" s="33"/>
      <c r="P27" s="33"/>
      <c r="Q27" s="33"/>
    </row>
    <row r="28" spans="2:36" ht="15.6" x14ac:dyDescent="0.3">
      <c r="B28" s="64"/>
      <c r="C28" s="64"/>
      <c r="D28" s="31"/>
      <c r="E28" s="31"/>
      <c r="F28" s="31"/>
      <c r="G28" s="65"/>
      <c r="J28" s="211"/>
      <c r="K28" s="214"/>
    </row>
    <row r="29" spans="2:36" x14ac:dyDescent="0.3">
      <c r="B29" s="62"/>
      <c r="C29" s="62"/>
      <c r="D29" s="62"/>
      <c r="E29" s="62"/>
      <c r="F29" s="62"/>
      <c r="G29" s="63"/>
      <c r="J29" s="211"/>
      <c r="K29" s="214"/>
    </row>
    <row r="30" spans="2:36" x14ac:dyDescent="0.3">
      <c r="B30" s="62"/>
      <c r="C30" s="62"/>
      <c r="D30" s="62"/>
      <c r="E30" s="62"/>
      <c r="F30" s="62"/>
      <c r="G30" s="63"/>
      <c r="J30" s="211"/>
      <c r="K30" s="214"/>
    </row>
    <row r="31" spans="2:36" x14ac:dyDescent="0.3">
      <c r="B31" s="62"/>
      <c r="C31" s="62"/>
      <c r="D31" s="62"/>
      <c r="E31" s="62"/>
      <c r="F31" s="62"/>
      <c r="G31" s="63"/>
      <c r="J31" s="211"/>
      <c r="K31" s="214"/>
    </row>
    <row r="32" spans="2:36" ht="15" thickBot="1" x14ac:dyDescent="0.35">
      <c r="B32" s="62"/>
      <c r="C32" s="62"/>
      <c r="D32" s="62"/>
      <c r="E32" s="62"/>
      <c r="F32" s="62"/>
      <c r="G32" s="63"/>
      <c r="J32" s="212"/>
      <c r="K32" s="215"/>
    </row>
    <row r="33" spans="2:26" x14ac:dyDescent="0.3">
      <c r="B33" s="62"/>
      <c r="C33" s="62"/>
      <c r="D33" s="62"/>
      <c r="E33" s="62"/>
      <c r="F33" s="62"/>
      <c r="G33" s="63"/>
      <c r="U33" s="142"/>
      <c r="V33" s="80">
        <v>10</v>
      </c>
      <c r="W33" s="80">
        <v>20</v>
      </c>
      <c r="X33" s="81">
        <v>30</v>
      </c>
      <c r="Y33"/>
      <c r="Z33"/>
    </row>
    <row r="34" spans="2:26" x14ac:dyDescent="0.3">
      <c r="B34" s="62"/>
      <c r="C34" s="62"/>
      <c r="D34" s="62"/>
      <c r="E34" s="62"/>
      <c r="F34" s="62"/>
      <c r="G34" s="63"/>
      <c r="U34" s="143" t="s">
        <v>70</v>
      </c>
      <c r="V34" s="138">
        <f>(1.28*10^(12))*EXP(-8183/(273+V33))/(1+((2.05*10^(-9))/(10^(-7.5)))+((10^(-7.5))/(1.66*10^(-7))))</f>
        <v>0.2823217413975958</v>
      </c>
      <c r="W34" s="138">
        <f t="shared" ref="W34:X34" si="36">(1.28*10^(12))*EXP(-8183/(273+W33))/(1+((2.05*10^(-9))/(10^(-7.5)))+((10^(-7.5))/(1.66*10^(-7))))</f>
        <v>0.75741706690483923</v>
      </c>
      <c r="X34" s="139">
        <f t="shared" si="36"/>
        <v>1.9038644750378029</v>
      </c>
      <c r="Y34"/>
      <c r="Z34"/>
    </row>
    <row r="35" spans="2:26" x14ac:dyDescent="0.3">
      <c r="B35" s="62"/>
      <c r="C35" s="62"/>
      <c r="D35" s="62"/>
      <c r="E35" s="62"/>
      <c r="F35" s="62"/>
      <c r="G35" s="63"/>
      <c r="U35" s="144" t="s">
        <v>71</v>
      </c>
      <c r="V35" s="140">
        <f>(6.69*10^(7))*EXP(-5295/(273+V33))/(1+((2.05*10^(-9))/(10^(-7.5)))+((10^(-7.5))/(1.66*10^(-7))))</f>
        <v>0.39894464591466677</v>
      </c>
      <c r="W35" s="140">
        <f t="shared" ref="W35:X35" si="37">(6.69*10^(7))*EXP(-5295/(273+W33))/(1+((2.05*10^(-9))/(10^(-7.5)))+((10^(-7.5))/(1.66*10^(-7))))</f>
        <v>0.75551351479496387</v>
      </c>
      <c r="X35" s="141">
        <f t="shared" si="37"/>
        <v>1.3717224615090331</v>
      </c>
      <c r="Y35"/>
      <c r="Z35"/>
    </row>
    <row r="36" spans="2:26" x14ac:dyDescent="0.3">
      <c r="U36" s="143" t="s">
        <v>72</v>
      </c>
      <c r="V36" s="138">
        <f>(1.651*10^(11))*EXP(-8183/(273+V33))</f>
        <v>4.5712789685116106E-2</v>
      </c>
      <c r="W36" s="138">
        <f t="shared" ref="W36:X36" si="38">(1.651*10^(11))*EXP(-8183/(273+W33))</f>
        <v>0.12263896826343848</v>
      </c>
      <c r="X36" s="139">
        <f t="shared" si="38"/>
        <v>0.30826870047461469</v>
      </c>
      <c r="Y36"/>
      <c r="Z36"/>
    </row>
    <row r="37" spans="2:26" ht="15" thickBot="1" x14ac:dyDescent="0.35">
      <c r="U37" s="145" t="s">
        <v>73</v>
      </c>
      <c r="V37" s="82">
        <f>(8.626*10^(6))*EXP(-5295/(273+V33))</f>
        <v>6.4573194919367791E-2</v>
      </c>
      <c r="W37" s="82">
        <f t="shared" ref="W37" si="39">(8.626*10^(6))*EXP(-5295/(273+W33))</f>
        <v>0.12228744502440833</v>
      </c>
      <c r="X37" s="83">
        <f>(8.626*10^(6))*EXP(-5295/(273+X33))</f>
        <v>0.22202704758505282</v>
      </c>
      <c r="Y37"/>
      <c r="Z37"/>
    </row>
    <row r="38" spans="2:26" x14ac:dyDescent="0.3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28" priority="14" operator="equal">
      <formula>0</formula>
    </cfRule>
  </conditionalFormatting>
  <conditionalFormatting sqref="S16:AD22">
    <cfRule type="cellIs" dxfId="27" priority="15" operator="notBetween">
      <formula>0.0000000001</formula>
      <formula>-0.0000000001</formula>
    </cfRule>
    <cfRule type="cellIs" dxfId="26" priority="16" operator="between">
      <formula>0.0000000001</formula>
      <formula>-0.0000000001</formula>
    </cfRule>
  </conditionalFormatting>
  <conditionalFormatting sqref="S7:AB7 AD7">
    <cfRule type="cellIs" dxfId="25" priority="9" operator="equal">
      <formula>0</formula>
    </cfRule>
  </conditionalFormatting>
  <conditionalFormatting sqref="AC4:AC6 AC8:AC15">
    <cfRule type="cellIs" dxfId="24" priority="8" operator="equal">
      <formula>0</formula>
    </cfRule>
  </conditionalFormatting>
  <conditionalFormatting sqref="AC7">
    <cfRule type="cellIs" dxfId="23" priority="7" operator="equal">
      <formula>0</formula>
    </cfRule>
  </conditionalFormatting>
  <conditionalFormatting sqref="AG7">
    <cfRule type="cellIs" dxfId="22" priority="1" operator="equal">
      <formula>0</formula>
    </cfRule>
  </conditionalFormatting>
  <conditionalFormatting sqref="AE4:AF6 AE8:AF15 AH8:AI15 AH4:AJ4 AH5:AI6 AJ5:AJ15">
    <cfRule type="cellIs" dxfId="21" priority="4" operator="equal">
      <formula>0</formula>
    </cfRule>
  </conditionalFormatting>
  <conditionalFormatting sqref="AE16:AJ22">
    <cfRule type="cellIs" dxfId="20" priority="5" operator="notBetween">
      <formula>0.0000000001</formula>
      <formula>-0.0000000001</formula>
    </cfRule>
    <cfRule type="cellIs" dxfId="19" priority="6" operator="between">
      <formula>0.0000000001</formula>
      <formula>-0.0000000001</formula>
    </cfRule>
  </conditionalFormatting>
  <conditionalFormatting sqref="AE7:AF7 AH7:AI7">
    <cfRule type="cellIs" dxfId="18" priority="3" operator="equal">
      <formula>0</formula>
    </cfRule>
  </conditionalFormatting>
  <conditionalFormatting sqref="AG4:AG6 AG8:AG15">
    <cfRule type="cellIs" dxfId="17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343D-F74C-48AF-B5D6-905B741A5D8A}">
  <dimension ref="A1:G8"/>
  <sheetViews>
    <sheetView workbookViewId="0">
      <selection activeCell="G14" sqref="G14"/>
    </sheetView>
  </sheetViews>
  <sheetFormatPr defaultColWidth="9.109375" defaultRowHeight="13.2" x14ac:dyDescent="0.25"/>
  <cols>
    <col min="1" max="1" width="9.109375" style="68"/>
    <col min="2" max="2" width="12" style="68" bestFit="1" customWidth="1"/>
    <col min="3" max="4" width="9.109375" style="68"/>
    <col min="5" max="5" width="12.44140625" style="68" bestFit="1" customWidth="1"/>
    <col min="6" max="6" width="9.109375" style="68"/>
    <col min="7" max="7" width="11.44140625" style="68" bestFit="1" customWidth="1"/>
    <col min="8" max="16384" width="9.109375" style="68"/>
  </cols>
  <sheetData>
    <row r="1" spans="1:7" x14ac:dyDescent="0.25">
      <c r="A1" s="136" t="s">
        <v>129</v>
      </c>
      <c r="B1" s="181">
        <f>1*10^(-9)*3600</f>
        <v>3.6000000000000003E-6</v>
      </c>
      <c r="C1" s="151" t="s">
        <v>116</v>
      </c>
      <c r="D1" s="93"/>
      <c r="E1" s="93"/>
      <c r="F1" s="93"/>
      <c r="G1" s="93"/>
    </row>
    <row r="2" spans="1:7" x14ac:dyDescent="0.25">
      <c r="A2" s="93"/>
      <c r="B2" s="93"/>
      <c r="C2" s="93"/>
      <c r="D2" s="93"/>
      <c r="E2" s="93"/>
      <c r="F2" s="93"/>
      <c r="G2" s="93"/>
    </row>
    <row r="3" spans="1:7" x14ac:dyDescent="0.25">
      <c r="A3" s="93"/>
      <c r="B3" s="93"/>
      <c r="C3" s="93"/>
      <c r="D3" s="93"/>
      <c r="E3" s="93"/>
      <c r="F3" s="93"/>
      <c r="G3" s="93"/>
    </row>
    <row r="4" spans="1:7" x14ac:dyDescent="0.25">
      <c r="A4" s="93"/>
      <c r="B4" s="93"/>
      <c r="C4" s="93"/>
      <c r="D4" s="93"/>
      <c r="E4" s="93"/>
      <c r="F4" s="93"/>
      <c r="G4" s="93"/>
    </row>
    <row r="5" spans="1:7" x14ac:dyDescent="0.25">
      <c r="A5" s="93"/>
      <c r="B5" s="93"/>
      <c r="C5" s="93"/>
      <c r="D5" s="93"/>
      <c r="E5" s="93"/>
      <c r="F5" s="93"/>
      <c r="G5" s="93"/>
    </row>
    <row r="6" spans="1:7" x14ac:dyDescent="0.25">
      <c r="A6" s="93"/>
      <c r="B6" s="93"/>
      <c r="C6" s="93"/>
      <c r="D6" s="93"/>
      <c r="E6" s="93"/>
      <c r="F6" s="93"/>
      <c r="G6" s="93"/>
    </row>
    <row r="7" spans="1:7" x14ac:dyDescent="0.25">
      <c r="A7" s="93"/>
      <c r="B7" s="93"/>
      <c r="C7" s="93"/>
      <c r="D7" s="93"/>
      <c r="E7" s="93"/>
      <c r="F7" s="93"/>
      <c r="G7" s="93"/>
    </row>
    <row r="8" spans="1:7" x14ac:dyDescent="0.25">
      <c r="A8" s="93"/>
      <c r="B8" s="93"/>
      <c r="C8" s="93"/>
      <c r="D8" s="93"/>
      <c r="E8" s="93"/>
      <c r="F8" s="93"/>
      <c r="G8" s="9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CAAF-FBE0-41EB-8723-FBCEE0A24EB0}">
  <dimension ref="A1:I3"/>
  <sheetViews>
    <sheetView zoomScaleNormal="100" workbookViewId="0">
      <selection activeCell="E16" sqref="E16"/>
    </sheetView>
  </sheetViews>
  <sheetFormatPr defaultColWidth="11.44140625" defaultRowHeight="13.2" x14ac:dyDescent="0.25"/>
  <sheetData>
    <row r="1" spans="1:9" x14ac:dyDescent="0.25">
      <c r="A1" s="153" t="s">
        <v>118</v>
      </c>
      <c r="B1" s="182">
        <v>9.9999999999999995E-7</v>
      </c>
      <c r="C1" s="133" t="s">
        <v>119</v>
      </c>
    </row>
    <row r="2" spans="1:9" x14ac:dyDescent="0.25">
      <c r="A2" s="154" t="s">
        <v>130</v>
      </c>
      <c r="B2" s="183">
        <v>0.5</v>
      </c>
      <c r="C2" s="135" t="s">
        <v>120</v>
      </c>
    </row>
    <row r="3" spans="1:9" x14ac:dyDescent="0.25">
      <c r="F3" s="93"/>
      <c r="G3" s="93"/>
      <c r="H3" s="93"/>
      <c r="I3" s="93"/>
    </row>
  </sheetData>
  <phoneticPr fontId="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tabSelected="1" zoomScale="90" zoomScaleNormal="90" workbookViewId="0">
      <selection activeCell="F7" sqref="F7"/>
    </sheetView>
  </sheetViews>
  <sheetFormatPr defaultColWidth="11.44140625" defaultRowHeight="13.2" x14ac:dyDescent="0.25"/>
  <cols>
    <col min="1" max="1" width="8.6640625" style="75" customWidth="1"/>
    <col min="2" max="2" width="12" style="79" customWidth="1"/>
    <col min="3" max="16384" width="11.44140625" style="75"/>
  </cols>
  <sheetData>
    <row r="1" spans="1:8" x14ac:dyDescent="0.25">
      <c r="B1" s="76" t="s">
        <v>128</v>
      </c>
      <c r="C1" s="77" t="s">
        <v>122</v>
      </c>
      <c r="D1" s="77" t="s">
        <v>13</v>
      </c>
      <c r="E1" s="78" t="s">
        <v>123</v>
      </c>
      <c r="F1" s="78" t="s">
        <v>64</v>
      </c>
    </row>
    <row r="2" spans="1:8" x14ac:dyDescent="0.25">
      <c r="A2" s="161" t="s">
        <v>125</v>
      </c>
      <c r="B2" s="162">
        <f>10*10^(-6)</f>
        <v>9.9999999999999991E-6</v>
      </c>
      <c r="C2" s="162">
        <f>1/24</f>
        <v>4.1666666666666664E-2</v>
      </c>
      <c r="D2" s="162">
        <v>0.01</v>
      </c>
      <c r="E2" s="162">
        <f>0.1*C2</f>
        <v>4.1666666666666666E-3</v>
      </c>
      <c r="F2" s="163" t="s">
        <v>127</v>
      </c>
    </row>
    <row r="3" spans="1:8" ht="13.8" customHeight="1" x14ac:dyDescent="0.25">
      <c r="A3" s="161" t="s">
        <v>126</v>
      </c>
      <c r="B3" s="162">
        <f>10*10^(-6)</f>
        <v>9.9999999999999991E-6</v>
      </c>
      <c r="C3" s="162">
        <f>1/24</f>
        <v>4.1666666666666664E-2</v>
      </c>
      <c r="D3" s="162">
        <v>0.01</v>
      </c>
      <c r="E3" s="162">
        <f>0.1*C3</f>
        <v>4.1666666666666666E-3</v>
      </c>
      <c r="F3" s="163" t="s">
        <v>127</v>
      </c>
    </row>
    <row r="10" spans="1:8" x14ac:dyDescent="0.25">
      <c r="F10" s="79"/>
      <c r="G10" s="79"/>
      <c r="H10" s="79"/>
    </row>
    <row r="11" spans="1:8" x14ac:dyDescent="0.25">
      <c r="F11" s="79"/>
      <c r="G11" s="79"/>
      <c r="H11" s="79"/>
    </row>
    <row r="12" spans="1:8" x14ac:dyDescent="0.25">
      <c r="F12" s="79"/>
      <c r="G12" s="79"/>
      <c r="H12" s="79"/>
    </row>
    <row r="13" spans="1:8" x14ac:dyDescent="0.25">
      <c r="F13" s="79"/>
      <c r="G13" s="79"/>
      <c r="H13" s="79"/>
    </row>
    <row r="14" spans="1:8" x14ac:dyDescent="0.25">
      <c r="F14" s="79"/>
      <c r="G14" s="79"/>
      <c r="H14" s="79"/>
    </row>
    <row r="15" spans="1:8" x14ac:dyDescent="0.25">
      <c r="F15" s="79"/>
      <c r="G15" s="79"/>
      <c r="H15" s="79"/>
    </row>
    <row r="16" spans="1:8" x14ac:dyDescent="0.25">
      <c r="F16" s="79"/>
      <c r="G16" s="79"/>
      <c r="H16" s="79"/>
    </row>
    <row r="17" spans="6:8" x14ac:dyDescent="0.25">
      <c r="F17" s="79"/>
      <c r="G17" s="79"/>
      <c r="H17" s="79"/>
    </row>
    <row r="18" spans="6:8" x14ac:dyDescent="0.25">
      <c r="F18" s="79"/>
      <c r="G18" s="79"/>
      <c r="H18" s="79"/>
    </row>
    <row r="19" spans="6:8" x14ac:dyDescent="0.25">
      <c r="F19" s="79"/>
      <c r="G19" s="79"/>
      <c r="H19" s="79"/>
    </row>
  </sheetData>
  <conditionalFormatting sqref="B2:F3">
    <cfRule type="cellIs" dxfId="16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6979-4BBA-4967-850D-3179EBFF406D}">
  <dimension ref="A1:G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defaultColWidth="11.44140625" defaultRowHeight="13.2" x14ac:dyDescent="0.25"/>
  <cols>
    <col min="1" max="1" width="8.44140625" style="68" customWidth="1"/>
    <col min="2" max="2" width="13.6640625" style="68" customWidth="1"/>
    <col min="3" max="3" width="13" style="68" customWidth="1"/>
    <col min="4" max="4" width="13.6640625" style="68" customWidth="1"/>
    <col min="5" max="5" width="14.5546875" style="68" customWidth="1"/>
    <col min="6" max="6" width="14" style="68" customWidth="1"/>
    <col min="7" max="7" width="16.77734375" style="68" customWidth="1"/>
    <col min="8" max="16384" width="11.44140625" style="68"/>
  </cols>
  <sheetData>
    <row r="1" spans="1:7" x14ac:dyDescent="0.25">
      <c r="A1" s="93"/>
      <c r="B1" s="219" t="s">
        <v>125</v>
      </c>
      <c r="C1" s="220"/>
      <c r="D1" s="221"/>
      <c r="E1" s="220" t="s">
        <v>126</v>
      </c>
      <c r="F1" s="220"/>
      <c r="G1" s="221"/>
    </row>
    <row r="2" spans="1:7" x14ac:dyDescent="0.25">
      <c r="A2" s="93"/>
      <c r="B2" s="69" t="s">
        <v>4</v>
      </c>
      <c r="C2" s="70" t="s">
        <v>5</v>
      </c>
      <c r="D2" s="71" t="s">
        <v>11</v>
      </c>
      <c r="E2" s="70" t="s">
        <v>4</v>
      </c>
      <c r="F2" s="70" t="s">
        <v>5</v>
      </c>
      <c r="G2" s="71" t="s">
        <v>11</v>
      </c>
    </row>
    <row r="3" spans="1:7" x14ac:dyDescent="0.25">
      <c r="A3" s="72" t="s">
        <v>127</v>
      </c>
      <c r="B3" s="155">
        <v>-1</v>
      </c>
      <c r="C3" s="202">
        <v>0</v>
      </c>
      <c r="D3" s="156">
        <v>0</v>
      </c>
      <c r="E3" s="160">
        <v>-1</v>
      </c>
      <c r="F3" s="164">
        <v>0</v>
      </c>
      <c r="G3" s="156">
        <v>0</v>
      </c>
    </row>
    <row r="4" spans="1:7" x14ac:dyDescent="0.25">
      <c r="A4" s="72" t="s">
        <v>8</v>
      </c>
      <c r="B4" s="155">
        <v>0</v>
      </c>
      <c r="C4" s="160">
        <v>0</v>
      </c>
      <c r="D4" s="156">
        <v>0</v>
      </c>
      <c r="E4" s="160">
        <v>0</v>
      </c>
      <c r="F4" s="160">
        <v>0</v>
      </c>
      <c r="G4" s="156">
        <v>0</v>
      </c>
    </row>
    <row r="5" spans="1:7" x14ac:dyDescent="0.25">
      <c r="A5" s="74" t="s">
        <v>9</v>
      </c>
      <c r="B5" s="157">
        <v>0</v>
      </c>
      <c r="C5" s="158">
        <v>0</v>
      </c>
      <c r="D5" s="159">
        <v>0</v>
      </c>
      <c r="E5" s="158">
        <v>0</v>
      </c>
      <c r="F5" s="158">
        <v>0</v>
      </c>
      <c r="G5" s="159">
        <v>0</v>
      </c>
    </row>
    <row r="6" spans="1:7" x14ac:dyDescent="0.25">
      <c r="A6" s="72" t="s">
        <v>125</v>
      </c>
      <c r="B6" s="155">
        <v>0</v>
      </c>
      <c r="C6" s="160">
        <v>1</v>
      </c>
      <c r="D6" s="156">
        <v>-1</v>
      </c>
      <c r="E6" s="160">
        <v>0</v>
      </c>
      <c r="F6" s="160">
        <v>0</v>
      </c>
      <c r="G6" s="156">
        <v>0</v>
      </c>
    </row>
    <row r="7" spans="1:7" x14ac:dyDescent="0.25">
      <c r="A7" s="74" t="s">
        <v>126</v>
      </c>
      <c r="B7" s="157">
        <v>0</v>
      </c>
      <c r="C7" s="158">
        <v>0</v>
      </c>
      <c r="D7" s="159">
        <v>0</v>
      </c>
      <c r="E7" s="158">
        <v>0</v>
      </c>
      <c r="F7" s="158">
        <v>1</v>
      </c>
      <c r="G7" s="159">
        <v>-1</v>
      </c>
    </row>
  </sheetData>
  <mergeCells count="2">
    <mergeCell ref="B1:D1"/>
    <mergeCell ref="E1:G1"/>
  </mergeCells>
  <conditionalFormatting sqref="G6 E3:F3 B3:C3">
    <cfRule type="cellIs" dxfId="15" priority="153" operator="equal">
      <formula>0</formula>
    </cfRule>
  </conditionalFormatting>
  <conditionalFormatting sqref="G3">
    <cfRule type="cellIs" dxfId="14" priority="146" operator="equal">
      <formula>0</formula>
    </cfRule>
  </conditionalFormatting>
  <conditionalFormatting sqref="B6:D7">
    <cfRule type="cellIs" dxfId="13" priority="152" operator="equal">
      <formula>0</formula>
    </cfRule>
  </conditionalFormatting>
  <conditionalFormatting sqref="E6:F6">
    <cfRule type="cellIs" dxfId="12" priority="150" operator="equal">
      <formula>0</formula>
    </cfRule>
  </conditionalFormatting>
  <conditionalFormatting sqref="D3">
    <cfRule type="cellIs" dxfId="11" priority="148" operator="equal">
      <formula>0</formula>
    </cfRule>
  </conditionalFormatting>
  <conditionalFormatting sqref="B4:C5 E4:G5">
    <cfRule type="cellIs" dxfId="10" priority="33" operator="equal">
      <formula>0</formula>
    </cfRule>
  </conditionalFormatting>
  <conditionalFormatting sqref="D4:D5">
    <cfRule type="cellIs" dxfId="9" priority="32" operator="equal">
      <formula>0</formula>
    </cfRule>
  </conditionalFormatting>
  <conditionalFormatting sqref="E7:G7">
    <cfRule type="cellIs" dxfId="8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4896-EC46-436F-B90A-B3CFA1FDF75E}">
  <dimension ref="A1:E4"/>
  <sheetViews>
    <sheetView workbookViewId="0">
      <selection activeCell="F10" sqref="F10"/>
    </sheetView>
  </sheetViews>
  <sheetFormatPr defaultColWidth="11.44140625" defaultRowHeight="13.2" x14ac:dyDescent="0.25"/>
  <cols>
    <col min="1" max="2" width="11.44140625" style="68"/>
    <col min="3" max="3" width="7.5546875" style="68" customWidth="1"/>
    <col min="4" max="4" width="3" style="68" customWidth="1"/>
    <col min="5" max="6" width="11.44140625" style="68"/>
    <col min="7" max="7" width="12" style="68" bestFit="1" customWidth="1"/>
    <col min="8" max="16384" width="11.44140625" style="68"/>
  </cols>
  <sheetData>
    <row r="1" spans="1:5" x14ac:dyDescent="0.25">
      <c r="A1" s="84" t="s">
        <v>127</v>
      </c>
      <c r="B1" s="152">
        <f>Parameters!B1</f>
        <v>1E-3</v>
      </c>
      <c r="C1" s="86" t="s">
        <v>74</v>
      </c>
      <c r="D1" s="87" t="s">
        <v>75</v>
      </c>
      <c r="E1" s="93"/>
    </row>
    <row r="2" spans="1:5" x14ac:dyDescent="0.25">
      <c r="A2" s="72" t="s">
        <v>125</v>
      </c>
      <c r="B2" s="180">
        <v>0</v>
      </c>
      <c r="C2" s="165" t="s">
        <v>74</v>
      </c>
      <c r="D2" s="92" t="s">
        <v>3</v>
      </c>
      <c r="E2" s="93"/>
    </row>
    <row r="3" spans="1:5" x14ac:dyDescent="0.25">
      <c r="A3" s="73" t="s">
        <v>126</v>
      </c>
      <c r="B3" s="207">
        <v>0</v>
      </c>
      <c r="C3" s="208" t="s">
        <v>74</v>
      </c>
      <c r="D3" s="94" t="s">
        <v>3</v>
      </c>
      <c r="E3" s="93"/>
    </row>
    <row r="4" spans="1:5" x14ac:dyDescent="0.25">
      <c r="A4" s="93"/>
      <c r="B4" s="93"/>
      <c r="C4" s="93"/>
      <c r="D4" s="93"/>
      <c r="E4" s="9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5348-13DE-4453-B94E-9092A51C3730}">
  <dimension ref="A1:J6"/>
  <sheetViews>
    <sheetView workbookViewId="0">
      <selection activeCell="D8" sqref="D8"/>
    </sheetView>
  </sheetViews>
  <sheetFormatPr defaultColWidth="9.109375" defaultRowHeight="13.2" x14ac:dyDescent="0.25"/>
  <cols>
    <col min="1" max="3" width="9.109375" style="68"/>
    <col min="4" max="4" width="4.21875" style="68" customWidth="1"/>
    <col min="5" max="16384" width="9.109375" style="68"/>
  </cols>
  <sheetData>
    <row r="1" spans="1:10" x14ac:dyDescent="0.25">
      <c r="A1" s="72" t="s">
        <v>127</v>
      </c>
      <c r="B1" s="90">
        <f>2*Parameters!B1</f>
        <v>2E-3</v>
      </c>
      <c r="C1" s="91" t="s">
        <v>74</v>
      </c>
      <c r="D1" s="92" t="s">
        <v>31</v>
      </c>
    </row>
    <row r="3" spans="1:10" x14ac:dyDescent="0.25">
      <c r="J3" s="95"/>
    </row>
    <row r="6" spans="1:10" x14ac:dyDescent="0.25">
      <c r="H6" s="9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B63-77EA-4EE8-A666-C25A7350D5AD}">
  <dimension ref="A1:J11"/>
  <sheetViews>
    <sheetView workbookViewId="0">
      <selection activeCell="G23" sqref="G23"/>
    </sheetView>
  </sheetViews>
  <sheetFormatPr defaultColWidth="11.44140625" defaultRowHeight="13.8" x14ac:dyDescent="0.25"/>
  <cols>
    <col min="1" max="2" width="11.44140625" customWidth="1"/>
    <col min="3" max="6" width="11.44140625" style="116"/>
    <col min="7" max="7" width="2.77734375" style="100" customWidth="1"/>
    <col min="8" max="8" width="3.5546875" style="101" customWidth="1"/>
  </cols>
  <sheetData>
    <row r="1" spans="1:10" ht="14.4" thickBot="1" x14ac:dyDescent="0.3">
      <c r="A1" s="96" t="s">
        <v>77</v>
      </c>
      <c r="B1" s="97">
        <v>0</v>
      </c>
      <c r="C1" s="98">
        <v>0</v>
      </c>
      <c r="D1" s="99">
        <v>-1</v>
      </c>
      <c r="E1" s="98">
        <v>-2</v>
      </c>
      <c r="F1" s="99">
        <v>-3</v>
      </c>
    </row>
    <row r="2" spans="1:10" x14ac:dyDescent="0.25">
      <c r="A2" s="166" t="s">
        <v>127</v>
      </c>
      <c r="B2" s="167" t="s">
        <v>78</v>
      </c>
      <c r="C2" s="167">
        <v>10</v>
      </c>
      <c r="D2" s="167" t="s">
        <v>78</v>
      </c>
      <c r="E2" s="167" t="s">
        <v>78</v>
      </c>
      <c r="F2" s="168" t="s">
        <v>78</v>
      </c>
      <c r="G2" s="102">
        <v>2</v>
      </c>
      <c r="H2" s="103" t="s">
        <v>75</v>
      </c>
    </row>
    <row r="3" spans="1:10" x14ac:dyDescent="0.25">
      <c r="A3" s="106" t="s">
        <v>8</v>
      </c>
      <c r="B3" s="171" t="s">
        <v>78</v>
      </c>
      <c r="C3" s="171">
        <v>-237.18</v>
      </c>
      <c r="D3" s="171">
        <v>-157.30000000000001</v>
      </c>
      <c r="E3" s="171" t="s">
        <v>78</v>
      </c>
      <c r="F3" s="172" t="s">
        <v>78</v>
      </c>
      <c r="G3" s="104">
        <v>2</v>
      </c>
      <c r="H3" s="105" t="s">
        <v>75</v>
      </c>
      <c r="I3" s="100"/>
      <c r="J3" s="100"/>
    </row>
    <row r="4" spans="1:10" x14ac:dyDescent="0.25">
      <c r="A4" s="107" t="s">
        <v>9</v>
      </c>
      <c r="B4" s="170" t="s">
        <v>78</v>
      </c>
      <c r="C4" s="170">
        <v>0</v>
      </c>
      <c r="D4" s="170" t="s">
        <v>78</v>
      </c>
      <c r="E4" s="173" t="s">
        <v>78</v>
      </c>
      <c r="F4" s="174" t="s">
        <v>78</v>
      </c>
      <c r="G4" s="108">
        <v>2</v>
      </c>
      <c r="H4" s="109" t="s">
        <v>75</v>
      </c>
      <c r="I4" s="100"/>
      <c r="J4" s="100"/>
    </row>
    <row r="5" spans="1:10" x14ac:dyDescent="0.25">
      <c r="A5" s="110" t="s">
        <v>125</v>
      </c>
      <c r="B5" s="187" t="s">
        <v>78</v>
      </c>
      <c r="C5" s="188">
        <v>-67</v>
      </c>
      <c r="D5" s="187" t="s">
        <v>78</v>
      </c>
      <c r="E5" s="188" t="s">
        <v>78</v>
      </c>
      <c r="F5" s="189" t="s">
        <v>78</v>
      </c>
      <c r="G5" s="104">
        <v>2</v>
      </c>
      <c r="H5" s="111" t="s">
        <v>3</v>
      </c>
      <c r="I5" s="100"/>
      <c r="J5" s="100"/>
    </row>
    <row r="6" spans="1:10" ht="14.4" thickBot="1" x14ac:dyDescent="0.3">
      <c r="A6" s="115" t="s">
        <v>126</v>
      </c>
      <c r="B6" s="184" t="s">
        <v>78</v>
      </c>
      <c r="C6" s="185">
        <v>-67</v>
      </c>
      <c r="D6" s="184" t="s">
        <v>78</v>
      </c>
      <c r="E6" s="185" t="s">
        <v>78</v>
      </c>
      <c r="F6" s="186" t="s">
        <v>78</v>
      </c>
      <c r="G6" s="113">
        <v>2</v>
      </c>
      <c r="H6" s="114" t="s">
        <v>3</v>
      </c>
      <c r="I6" s="100"/>
      <c r="J6" s="100"/>
    </row>
    <row r="7" spans="1:10" x14ac:dyDescent="0.25">
      <c r="A7" s="169" t="s">
        <v>127</v>
      </c>
      <c r="B7" s="175" t="s">
        <v>79</v>
      </c>
      <c r="C7" s="175">
        <v>0</v>
      </c>
      <c r="D7" s="175" t="s">
        <v>79</v>
      </c>
      <c r="E7" s="175" t="s">
        <v>79</v>
      </c>
      <c r="F7" s="176" t="s">
        <v>79</v>
      </c>
    </row>
    <row r="8" spans="1:10" x14ac:dyDescent="0.25">
      <c r="A8" s="106" t="s">
        <v>8</v>
      </c>
      <c r="B8" s="177" t="s">
        <v>79</v>
      </c>
      <c r="C8" s="177">
        <v>0</v>
      </c>
      <c r="D8" s="177">
        <v>-1</v>
      </c>
      <c r="E8" s="177" t="s">
        <v>79</v>
      </c>
      <c r="F8" s="178" t="s">
        <v>79</v>
      </c>
    </row>
    <row r="9" spans="1:10" x14ac:dyDescent="0.25">
      <c r="A9" s="179" t="s">
        <v>9</v>
      </c>
      <c r="B9" s="175" t="s">
        <v>79</v>
      </c>
      <c r="C9" s="175">
        <v>1</v>
      </c>
      <c r="D9" s="175" t="s">
        <v>79</v>
      </c>
      <c r="E9" s="175" t="s">
        <v>79</v>
      </c>
      <c r="F9" s="176" t="s">
        <v>79</v>
      </c>
    </row>
    <row r="10" spans="1:10" x14ac:dyDescent="0.25">
      <c r="A10" s="110" t="s">
        <v>125</v>
      </c>
      <c r="B10" s="187" t="s">
        <v>79</v>
      </c>
      <c r="C10" s="200">
        <v>0</v>
      </c>
      <c r="D10" s="187" t="s">
        <v>79</v>
      </c>
      <c r="E10" s="188" t="s">
        <v>79</v>
      </c>
      <c r="F10" s="189" t="s">
        <v>79</v>
      </c>
      <c r="G10"/>
      <c r="H10"/>
    </row>
    <row r="11" spans="1:10" x14ac:dyDescent="0.25">
      <c r="A11" s="112" t="s">
        <v>126</v>
      </c>
      <c r="B11" s="203" t="s">
        <v>79</v>
      </c>
      <c r="C11" s="206">
        <v>0</v>
      </c>
      <c r="D11" s="203" t="s">
        <v>79</v>
      </c>
      <c r="E11" s="204" t="s">
        <v>79</v>
      </c>
      <c r="F11" s="205" t="s">
        <v>79</v>
      </c>
      <c r="G11"/>
      <c r="H11"/>
    </row>
  </sheetData>
  <conditionalFormatting sqref="B2:F2 B5:F7">
    <cfRule type="containsText" dxfId="7" priority="41" operator="containsText" text="NA">
      <formula>NOT(ISERROR(SEARCH("NA",B2)))</formula>
    </cfRule>
    <cfRule type="containsText" dxfId="6" priority="42" operator="containsText" text="Inf">
      <formula>NOT(ISERROR(SEARCH("Inf",B2)))</formula>
    </cfRule>
  </conditionalFormatting>
  <conditionalFormatting sqref="B3:F4">
    <cfRule type="containsText" dxfId="5" priority="27" operator="containsText" text="NA">
      <formula>NOT(ISERROR(SEARCH("NA",B3)))</formula>
    </cfRule>
    <cfRule type="containsText" dxfId="4" priority="28" operator="containsText" text="Inf">
      <formula>NOT(ISERROR(SEARCH("Inf",B3)))</formula>
    </cfRule>
  </conditionalFormatting>
  <conditionalFormatting sqref="B8:F9">
    <cfRule type="containsText" dxfId="3" priority="25" operator="containsText" text="NA">
      <formula>NOT(ISERROR(SEARCH("NA",B8)))</formula>
    </cfRule>
    <cfRule type="containsText" dxfId="2" priority="26" operator="containsText" text="Inf">
      <formula>NOT(ISERROR(SEARCH("Inf",B8)))</formula>
    </cfRule>
  </conditionalFormatting>
  <conditionalFormatting sqref="B10:F11">
    <cfRule type="containsText" dxfId="1" priority="5" operator="containsText" text="NA">
      <formula>NOT(ISERROR(SEARCH("NA",B10)))</formula>
    </cfRule>
    <cfRule type="containsText" dxfId="0" priority="6" operator="containsText" text="Inf">
      <formula>NOT(ISERROR(SEARCH("Inf",B10)))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A6D-D80E-4A80-9683-F4E88158FAE9}">
  <dimension ref="A1:E20"/>
  <sheetViews>
    <sheetView workbookViewId="0">
      <selection activeCell="B49" sqref="B49"/>
    </sheetView>
  </sheetViews>
  <sheetFormatPr defaultColWidth="9.109375" defaultRowHeight="13.2" x14ac:dyDescent="0.25"/>
  <cols>
    <col min="1" max="1" width="14.77734375" style="68" customWidth="1"/>
    <col min="2" max="2" width="13.77734375" style="68" customWidth="1"/>
    <col min="3" max="3" width="9.109375" style="68"/>
    <col min="4" max="5" width="12.44140625" style="68" bestFit="1" customWidth="1"/>
    <col min="6" max="16384" width="9.109375" style="68"/>
  </cols>
  <sheetData>
    <row r="1" spans="1:5" x14ac:dyDescent="0.25">
      <c r="A1" s="117" t="s">
        <v>80</v>
      </c>
      <c r="B1" s="193">
        <f>((4/3)*PI()*B3^3)*B4</f>
        <v>2.0943951023931951E-12</v>
      </c>
      <c r="C1" s="118" t="s">
        <v>10</v>
      </c>
    </row>
    <row r="2" spans="1:5" x14ac:dyDescent="0.25">
      <c r="A2" s="119" t="s">
        <v>81</v>
      </c>
      <c r="B2" s="152">
        <f>0.1*B1</f>
        <v>2.0943951023931951E-13</v>
      </c>
      <c r="C2" s="120" t="s">
        <v>10</v>
      </c>
    </row>
    <row r="3" spans="1:5" x14ac:dyDescent="0.25">
      <c r="A3" s="119" t="s">
        <v>82</v>
      </c>
      <c r="B3" s="201">
        <f>(1)*10^(-6)</f>
        <v>9.9999999999999995E-7</v>
      </c>
      <c r="C3" s="120" t="s">
        <v>83</v>
      </c>
    </row>
    <row r="4" spans="1:5" x14ac:dyDescent="0.25">
      <c r="A4" s="119" t="s">
        <v>84</v>
      </c>
      <c r="B4" s="152">
        <f>500*1000</f>
        <v>500000</v>
      </c>
      <c r="C4" s="120" t="s">
        <v>85</v>
      </c>
      <c r="D4"/>
      <c r="E4"/>
    </row>
    <row r="5" spans="1:5" x14ac:dyDescent="0.25">
      <c r="A5" s="119" t="s">
        <v>86</v>
      </c>
      <c r="B5" s="191">
        <v>24.6</v>
      </c>
      <c r="C5" s="120" t="s">
        <v>87</v>
      </c>
      <c r="D5"/>
      <c r="E5"/>
    </row>
    <row r="6" spans="1:5" x14ac:dyDescent="0.25">
      <c r="A6" s="119" t="s">
        <v>121</v>
      </c>
      <c r="B6" s="191">
        <f>50*10^(-6)</f>
        <v>4.9999999999999996E-5</v>
      </c>
      <c r="C6" s="120" t="s">
        <v>83</v>
      </c>
      <c r="D6"/>
      <c r="E6"/>
    </row>
    <row r="7" spans="1:5" x14ac:dyDescent="0.25">
      <c r="A7" s="119" t="s">
        <v>124</v>
      </c>
      <c r="B7" s="191">
        <f>15*10^(-6)</f>
        <v>1.4999999999999999E-5</v>
      </c>
      <c r="C7" s="120" t="s">
        <v>83</v>
      </c>
      <c r="D7"/>
      <c r="E7"/>
    </row>
    <row r="8" spans="1:5" x14ac:dyDescent="0.25">
      <c r="A8" s="119" t="s">
        <v>88</v>
      </c>
      <c r="B8" s="192">
        <f>4*(((B6/2)^2)/((B3)^2))</f>
        <v>2499.9999999999995</v>
      </c>
      <c r="C8" s="120" t="s">
        <v>89</v>
      </c>
      <c r="D8"/>
      <c r="E8"/>
    </row>
    <row r="9" spans="1:5" x14ac:dyDescent="0.25">
      <c r="A9" s="88" t="s">
        <v>90</v>
      </c>
      <c r="B9" s="191">
        <v>1</v>
      </c>
      <c r="C9" s="120" t="s">
        <v>89</v>
      </c>
    </row>
    <row r="10" spans="1:5" x14ac:dyDescent="0.25">
      <c r="A10" s="88" t="s">
        <v>91</v>
      </c>
      <c r="B10" s="194">
        <f>2*B3</f>
        <v>1.9999999999999999E-6</v>
      </c>
      <c r="C10" s="120" t="s">
        <v>83</v>
      </c>
    </row>
    <row r="11" spans="1:5" ht="13.8" x14ac:dyDescent="0.3">
      <c r="A11" s="122" t="s">
        <v>92</v>
      </c>
      <c r="B11" s="137">
        <f>(2*B3)*0.1</f>
        <v>1.9999999999999999E-7</v>
      </c>
      <c r="C11" s="123" t="s">
        <v>83</v>
      </c>
    </row>
    <row r="15" spans="1:5" x14ac:dyDescent="0.25">
      <c r="B15" s="124"/>
    </row>
    <row r="16" spans="1:5" x14ac:dyDescent="0.25">
      <c r="B16" s="89"/>
    </row>
    <row r="18" spans="3:5" x14ac:dyDescent="0.25">
      <c r="C18" s="89"/>
      <c r="D18" s="125"/>
    </row>
    <row r="19" spans="3:5" x14ac:dyDescent="0.25">
      <c r="D19" s="89"/>
    </row>
    <row r="20" spans="3:5" x14ac:dyDescent="0.25">
      <c r="E20" s="8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653D-3AB4-4E36-8AE0-25B878DA77CA}">
  <dimension ref="A1:E18"/>
  <sheetViews>
    <sheetView workbookViewId="0">
      <selection activeCell="B8" sqref="B8"/>
    </sheetView>
  </sheetViews>
  <sheetFormatPr defaultColWidth="11.44140625" defaultRowHeight="13.2" x14ac:dyDescent="0.25"/>
  <cols>
    <col min="1" max="1" width="10.44140625" style="68" customWidth="1"/>
    <col min="2" max="2" width="11.44140625" style="68"/>
    <col min="3" max="3" width="12.109375" style="68" customWidth="1"/>
    <col min="4" max="16384" width="11.44140625" style="68"/>
  </cols>
  <sheetData>
    <row r="1" spans="1:5" x14ac:dyDescent="0.25">
      <c r="A1" s="126" t="s">
        <v>131</v>
      </c>
      <c r="B1" s="90">
        <f>1*10^(-3)</f>
        <v>1E-3</v>
      </c>
      <c r="C1" s="127" t="s">
        <v>74</v>
      </c>
    </row>
    <row r="2" spans="1:5" x14ac:dyDescent="0.25">
      <c r="A2" s="128" t="s">
        <v>1</v>
      </c>
      <c r="B2" s="121">
        <f>273.15+20</f>
        <v>293.14999999999998</v>
      </c>
      <c r="C2" s="120" t="s">
        <v>2</v>
      </c>
    </row>
    <row r="3" spans="1:5" x14ac:dyDescent="0.25">
      <c r="A3" s="128" t="s">
        <v>93</v>
      </c>
      <c r="B3" s="121">
        <f>8.3144/1000</f>
        <v>8.3143999999999996E-3</v>
      </c>
      <c r="C3" s="120" t="s">
        <v>6</v>
      </c>
    </row>
    <row r="4" spans="1:5" x14ac:dyDescent="0.25">
      <c r="A4" s="128" t="s">
        <v>94</v>
      </c>
      <c r="B4" s="121">
        <v>8.2057459999999999E-2</v>
      </c>
      <c r="C4" s="120" t="s">
        <v>95</v>
      </c>
    </row>
    <row r="5" spans="1:5" x14ac:dyDescent="0.25">
      <c r="A5" s="128" t="s">
        <v>0</v>
      </c>
      <c r="B5" s="121">
        <v>1</v>
      </c>
      <c r="C5" s="120" t="s">
        <v>76</v>
      </c>
    </row>
    <row r="6" spans="1:5" x14ac:dyDescent="0.25">
      <c r="A6" s="128" t="s">
        <v>96</v>
      </c>
      <c r="B6" s="85">
        <f>B7</f>
        <v>1.3463968515384824E-12</v>
      </c>
      <c r="C6" s="120" t="s">
        <v>97</v>
      </c>
    </row>
    <row r="7" spans="1:5" x14ac:dyDescent="0.25">
      <c r="A7" s="128" t="s">
        <v>98</v>
      </c>
      <c r="B7" s="85">
        <f>((Bacteria!B8*Bacteria!B1)/(3.5*1000/900))/1000</f>
        <v>1.3463968515384824E-12</v>
      </c>
      <c r="C7" s="120" t="s">
        <v>97</v>
      </c>
      <c r="D7" s="89"/>
    </row>
    <row r="8" spans="1:5" x14ac:dyDescent="0.25">
      <c r="A8" s="128" t="s">
        <v>99</v>
      </c>
      <c r="B8" s="85">
        <v>7</v>
      </c>
      <c r="C8" s="120" t="s">
        <v>89</v>
      </c>
    </row>
    <row r="9" spans="1:5" x14ac:dyDescent="0.25">
      <c r="A9" s="128" t="s">
        <v>100</v>
      </c>
      <c r="B9" s="85">
        <v>10.8</v>
      </c>
      <c r="C9" s="120" t="s">
        <v>101</v>
      </c>
    </row>
    <row r="10" spans="1:5" x14ac:dyDescent="0.25">
      <c r="A10" s="129" t="s">
        <v>102</v>
      </c>
      <c r="B10" s="130">
        <f>(B7*1000)/0.01</f>
        <v>1.3463968515384822E-7</v>
      </c>
      <c r="C10" s="131" t="s">
        <v>103</v>
      </c>
    </row>
    <row r="16" spans="1:5" x14ac:dyDescent="0.25">
      <c r="E16" s="89"/>
    </row>
    <row r="17" spans="3:4" x14ac:dyDescent="0.25">
      <c r="C17" s="89"/>
    </row>
    <row r="18" spans="3:4" x14ac:dyDescent="0.25">
      <c r="D18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E954-2029-4161-807E-6272422B3E38}">
  <dimension ref="A1:G25"/>
  <sheetViews>
    <sheetView workbookViewId="0">
      <selection activeCell="H19" sqref="H19"/>
    </sheetView>
  </sheetViews>
  <sheetFormatPr defaultColWidth="9.109375" defaultRowHeight="13.2" x14ac:dyDescent="0.25"/>
  <cols>
    <col min="1" max="1" width="15.44140625" style="68" customWidth="1"/>
    <col min="2" max="16384" width="9.109375" style="68"/>
  </cols>
  <sheetData>
    <row r="1" spans="1:7" x14ac:dyDescent="0.25">
      <c r="A1" s="132" t="s">
        <v>104</v>
      </c>
      <c r="B1" s="195">
        <f>B3/B5</f>
        <v>35</v>
      </c>
      <c r="C1" s="133" t="s">
        <v>89</v>
      </c>
    </row>
    <row r="2" spans="1:7" x14ac:dyDescent="0.25">
      <c r="A2" s="134" t="s">
        <v>105</v>
      </c>
      <c r="B2" s="196">
        <f>B4/B6</f>
        <v>35</v>
      </c>
      <c r="C2" s="135" t="s">
        <v>89</v>
      </c>
    </row>
    <row r="3" spans="1:7" x14ac:dyDescent="0.25">
      <c r="A3" s="134" t="s">
        <v>106</v>
      </c>
      <c r="B3" s="190">
        <f>(Bacteria!B6+2*B8+10*10^(-6))</f>
        <v>6.9999999999999994E-5</v>
      </c>
      <c r="C3" s="135" t="s">
        <v>83</v>
      </c>
    </row>
    <row r="4" spans="1:7" x14ac:dyDescent="0.25">
      <c r="A4" s="134" t="s">
        <v>107</v>
      </c>
      <c r="B4" s="190">
        <f>(Bacteria!B6+2*B8+10*10^(-6))</f>
        <v>6.9999999999999994E-5</v>
      </c>
      <c r="C4" s="135" t="s">
        <v>83</v>
      </c>
    </row>
    <row r="5" spans="1:7" x14ac:dyDescent="0.25">
      <c r="A5" s="134" t="s">
        <v>108</v>
      </c>
      <c r="B5" s="190">
        <f>0.000001*2</f>
        <v>1.9999999999999999E-6</v>
      </c>
      <c r="C5" s="135" t="s">
        <v>83</v>
      </c>
    </row>
    <row r="6" spans="1:7" x14ac:dyDescent="0.25">
      <c r="A6" s="134" t="s">
        <v>109</v>
      </c>
      <c r="B6" s="190">
        <f>0.000001*2</f>
        <v>1.9999999999999999E-6</v>
      </c>
      <c r="C6" s="135" t="s">
        <v>83</v>
      </c>
    </row>
    <row r="7" spans="1:7" x14ac:dyDescent="0.25">
      <c r="A7" s="134" t="s">
        <v>110</v>
      </c>
      <c r="B7" s="190">
        <f>0.000001*2</f>
        <v>1.9999999999999999E-6</v>
      </c>
      <c r="C7" s="135" t="s">
        <v>83</v>
      </c>
      <c r="E7" s="89"/>
    </row>
    <row r="8" spans="1:7" x14ac:dyDescent="0.25">
      <c r="A8" s="134" t="s">
        <v>111</v>
      </c>
      <c r="B8" s="197">
        <f>5*10^(-6)</f>
        <v>4.9999999999999996E-6</v>
      </c>
      <c r="C8" s="135" t="s">
        <v>83</v>
      </c>
    </row>
    <row r="9" spans="1:7" x14ac:dyDescent="0.25">
      <c r="A9" s="134" t="s">
        <v>112</v>
      </c>
      <c r="B9" s="198">
        <f>50*24</f>
        <v>1200</v>
      </c>
      <c r="C9" s="135" t="s">
        <v>101</v>
      </c>
    </row>
    <row r="10" spans="1:7" x14ac:dyDescent="0.25">
      <c r="A10" s="134" t="s">
        <v>113</v>
      </c>
      <c r="B10" s="190">
        <v>1E-8</v>
      </c>
      <c r="C10" s="135" t="s">
        <v>101</v>
      </c>
      <c r="F10" s="89"/>
      <c r="G10" s="89"/>
    </row>
    <row r="11" spans="1:7" x14ac:dyDescent="0.25">
      <c r="A11" s="134" t="s">
        <v>114</v>
      </c>
      <c r="B11" s="190">
        <v>0.1</v>
      </c>
      <c r="C11" s="135" t="s">
        <v>101</v>
      </c>
    </row>
    <row r="12" spans="1:7" x14ac:dyDescent="0.25">
      <c r="A12" s="134" t="s">
        <v>132</v>
      </c>
      <c r="B12" s="190">
        <v>0.1</v>
      </c>
      <c r="C12" s="135" t="s">
        <v>101</v>
      </c>
    </row>
    <row r="13" spans="1:7" ht="13.8" thickBot="1" x14ac:dyDescent="0.3">
      <c r="A13" s="150" t="s">
        <v>115</v>
      </c>
      <c r="B13" s="199">
        <v>24</v>
      </c>
      <c r="C13" s="149" t="s">
        <v>101</v>
      </c>
      <c r="E13" s="95"/>
    </row>
    <row r="17" spans="4:5" x14ac:dyDescent="0.25">
      <c r="D17" s="89"/>
      <c r="E17" s="89"/>
    </row>
    <row r="19" spans="4:5" ht="16.2" customHeight="1" x14ac:dyDescent="0.25"/>
    <row r="25" spans="4:5" x14ac:dyDescent="0.25">
      <c r="E25" s="8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Eloi</cp:lastModifiedBy>
  <dcterms:created xsi:type="dcterms:W3CDTF">2008-02-06T12:16:03Z</dcterms:created>
  <dcterms:modified xsi:type="dcterms:W3CDTF">2020-11-25T15:28:36Z</dcterms:modified>
</cp:coreProperties>
</file>