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C:\Users\2424069M\Documents\GitHub\IbM\planning\Excels\Templates\"/>
    </mc:Choice>
  </mc:AlternateContent>
  <xr:revisionPtr revIDLastSave="0" documentId="13_ncr:1_{27508451-013C-4EC8-8E07-0F2EA3AA3533}" xr6:coauthVersionLast="47" xr6:coauthVersionMax="47" xr10:uidLastSave="{00000000-0000-0000-0000-000000000000}"/>
  <bookViews>
    <workbookView xWindow="-108" yWindow="-108" windowWidth="23256" windowHeight="12576" tabRatio="808" firstSheet="1" activeTab="3" xr2:uid="{00000000-000D-0000-FFFF-FFFF00000000}"/>
  </bookViews>
  <sheets>
    <sheet name="Information" sheetId="30" r:id="rId1"/>
    <sheet name="Settings" sheetId="34" r:id="rId2"/>
    <sheet name="Discretization" sheetId="27" r:id="rId3"/>
    <sheet name="Parameters" sheetId="26" r:id="rId4"/>
    <sheet name="Diffusion" sheetId="28" r:id="rId5"/>
    <sheet name="Bacteria" sheetId="25" r:id="rId6"/>
    <sheet name="Solver" sheetId="29" r:id="rId7"/>
    <sheet name="Influent" sheetId="23" r:id="rId8"/>
    <sheet name="Initial condition" sheetId="22" r:id="rId9"/>
    <sheet name="ThermoParam" sheetId="24" r:id="rId10"/>
    <sheet name="Ks" sheetId="31" r:id="rId11"/>
    <sheet name="Ki" sheetId="32" r:id="rId12"/>
    <sheet name="Yield" sheetId="33" r:id="rId13"/>
    <sheet name="ReactionMatrix" sheetId="21"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27" l="1"/>
  <c r="B10" i="26"/>
  <c r="B16" i="25" s="1"/>
  <c r="B4" i="22" l="1"/>
  <c r="B11" i="25"/>
  <c r="B1" i="28" l="1"/>
  <c r="B9" i="26" l="1"/>
  <c r="B13" i="27" l="1"/>
  <c r="B9" i="27"/>
  <c r="B4" i="23"/>
  <c r="C2" i="32"/>
  <c r="D6" i="32"/>
  <c r="B5" i="32"/>
  <c r="B4" i="32"/>
  <c r="B3" i="32"/>
  <c r="C6" i="31"/>
  <c r="B6" i="31"/>
  <c r="C4" i="31"/>
  <c r="D4" i="31"/>
  <c r="D5" i="31"/>
  <c r="C5" i="31"/>
  <c r="D3" i="31"/>
  <c r="C3" i="31"/>
  <c r="B2" i="31"/>
  <c r="D2" i="31"/>
  <c r="B2" i="22"/>
  <c r="B1" i="22"/>
  <c r="B14" i="27"/>
  <c r="B3" i="27"/>
  <c r="B7" i="25"/>
  <c r="B4" i="34" l="1"/>
  <c r="A4" i="34"/>
  <c r="B8" i="26" l="1"/>
  <c r="B1" i="23" l="1"/>
  <c r="B4" i="25" l="1"/>
  <c r="B3" i="25"/>
  <c r="B5" i="22"/>
  <c r="B7" i="22" s="1"/>
  <c r="B3" i="26"/>
  <c r="B1" i="25" l="1"/>
  <c r="B2" i="25" s="1"/>
  <c r="B7" i="27"/>
  <c r="B8" i="25"/>
  <c r="B6" i="34"/>
  <c r="A6" i="34"/>
  <c r="B3" i="34"/>
  <c r="B5" i="34"/>
  <c r="B7" i="34"/>
  <c r="B8" i="34"/>
  <c r="A8" i="34"/>
  <c r="A7" i="34"/>
  <c r="A5" i="34"/>
  <c r="A3" i="34"/>
  <c r="B2" i="34"/>
  <c r="A2" i="34"/>
  <c r="B1" i="34"/>
  <c r="A1" i="34"/>
  <c r="B17" i="24"/>
  <c r="D18" i="24"/>
  <c r="B13" i="24"/>
  <c r="B6" i="24"/>
  <c r="B14" i="24"/>
  <c r="B15" i="24"/>
  <c r="B16" i="24"/>
  <c r="B18" i="24"/>
  <c r="B19" i="24"/>
  <c r="B20" i="24"/>
  <c r="B21" i="24"/>
  <c r="B22" i="24"/>
  <c r="D14" i="24"/>
  <c r="E14" i="24"/>
  <c r="D15" i="24"/>
  <c r="E15" i="24"/>
  <c r="C16" i="24"/>
  <c r="D16" i="24"/>
  <c r="E16" i="24"/>
  <c r="E17" i="24"/>
  <c r="C19" i="24"/>
  <c r="D19" i="24"/>
  <c r="E19" i="24"/>
  <c r="C20" i="24"/>
  <c r="D20" i="24"/>
  <c r="E20" i="24"/>
  <c r="D21" i="24"/>
  <c r="E21" i="24"/>
  <c r="C22" i="24"/>
  <c r="D22" i="24"/>
  <c r="E22" i="24"/>
  <c r="D13" i="24"/>
  <c r="E13" i="24"/>
  <c r="B6" i="26"/>
  <c r="D17" i="24" s="1"/>
  <c r="D7" i="24"/>
  <c r="E7" i="24"/>
  <c r="E18" i="24" s="1"/>
  <c r="B4" i="27"/>
  <c r="C21" i="24" l="1"/>
  <c r="C17" i="24"/>
  <c r="C13" i="24"/>
  <c r="C15" i="24"/>
  <c r="C14" i="24"/>
  <c r="B6" i="33"/>
  <c r="B2" i="33"/>
  <c r="B7" i="28"/>
  <c r="B6" i="28"/>
  <c r="B5" i="28"/>
  <c r="B4" i="28"/>
  <c r="B3" i="28"/>
  <c r="B2" i="28"/>
  <c r="B19" i="27" l="1"/>
  <c r="B17" i="27"/>
  <c r="B11" i="27"/>
  <c r="B7" i="23" l="1"/>
  <c r="B6" i="22" l="1"/>
  <c r="B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Chiel</author>
    <author>tc={873F5D62-7A36-441D-909B-5D8DF0BCC1F4}</author>
  </authors>
  <commentList>
    <comment ref="B1" authorId="0" shapeId="0" xr:uid="{66D89453-499A-451B-9375-8FEE23DBC4F0}">
      <text>
        <r>
          <rPr>
            <b/>
            <sz val="9"/>
            <color indexed="81"/>
            <rFont val="Tahoma"/>
            <family val="2"/>
          </rPr>
          <t>Chiel:</t>
        </r>
        <r>
          <rPr>
            <sz val="9"/>
            <color indexed="81"/>
            <rFont val="Tahoma"/>
            <family val="2"/>
          </rPr>
          <t xml:space="preserve">
based on Poot et al (2016)</t>
        </r>
      </text>
    </comment>
    <comment ref="B11" authorId="1" shapeId="0" xr:uid="{873F5D62-7A36-441D-909B-5D8DF0BCC1F4}">
      <text>
        <t>[Threaded comment]
Your version of Excel allows you to read this threaded comment; however, any edits to it will get removed if the file is opened in a newer version of Excel. Learn more: https://go.microsoft.com/fwlink/?linkid=870924
Comment:
    Lemaire2008 -&gt; order of magnitude 30-80 g/L for synthetic feed, 150 g/L in their experiment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tc={39C3F1E7-313F-41C1-BEA1-5D4A070A352E}</author>
  </authors>
  <commentList>
    <comment ref="B1" authorId="0" shapeId="0" xr:uid="{39C3F1E7-313F-41C1-BEA1-5D4A070A352E}">
      <text>
        <t>[Threaded comment]
Your version of Excel allows you to read this threaded comment; however, any edits to it will get removed if the file is opened in a newer version of Excel. Learn more: https://go.microsoft.com/fwlink/?linkid=870924
Comment:
    70% of diffusion coefficient (aq). From Berg et al. (2020). How to measure diffusion coefficients in biofilms: A critical analysis.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tc={AAB0138B-EC14-4FA4-84D5-32A8A09E2735}</author>
  </authors>
  <commentList>
    <comment ref="B7" authorId="0" shapeId="0" xr:uid="{AAB0138B-EC14-4FA4-84D5-32A8A09E2735}">
      <text>
        <t>[Threaded comment]
Your version of Excel allows you to read this threaded comment; however, any edits to it will get removed if the file is opened in a newer version of Excel. Learn more: https://go.microsoft.com/fwlink/?linkid=870924
Comment:
    From Poot2016. SI (Fig S2)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Chiel</author>
  </authors>
  <commentList>
    <comment ref="B12" authorId="0" shapeId="0" xr:uid="{61A8F149-C15A-4E85-ADA2-378708A2716A}">
      <text>
        <r>
          <rPr>
            <b/>
            <sz val="9"/>
            <color indexed="81"/>
            <rFont val="Tahoma"/>
            <family val="2"/>
          </rPr>
          <t>Chiel:</t>
        </r>
        <r>
          <rPr>
            <sz val="9"/>
            <color indexed="81"/>
            <rFont val="Tahoma"/>
            <family val="2"/>
          </rPr>
          <t xml:space="preserve">
Equilibrium ratio of CO2(aq)/H2CO3. In literature often given as H2CO3/CO2(aq)</t>
        </r>
      </text>
    </comment>
    <comment ref="B17" authorId="0" shapeId="0" xr:uid="{0011C65B-9A7D-41B3-8BCE-75001A7243E1}">
      <text>
        <r>
          <rPr>
            <b/>
            <sz val="9"/>
            <color indexed="81"/>
            <rFont val="Tahoma"/>
            <family val="2"/>
          </rPr>
          <t>Chiel:</t>
        </r>
        <r>
          <rPr>
            <sz val="9"/>
            <color indexed="81"/>
            <rFont val="Tahoma"/>
            <family val="2"/>
          </rPr>
          <t xml:space="preserve">
manually adjusted, because not in same order of magnitude as literature</t>
        </r>
      </text>
    </comment>
    <comment ref="C18" authorId="0" shapeId="0" xr:uid="{70458961-4900-45B5-B8A8-96EAE4D2F89C}">
      <text>
        <r>
          <rPr>
            <b/>
            <sz val="9"/>
            <color indexed="81"/>
            <rFont val="Tahoma"/>
            <family val="2"/>
          </rPr>
          <t>Chiel:</t>
        </r>
        <r>
          <rPr>
            <sz val="9"/>
            <color indexed="81"/>
            <rFont val="Tahoma"/>
            <family val="2"/>
          </rPr>
          <t xml:space="preserve">
Manually adjust to conform with literature.
Completely dissociates, thus value of 100 taken.</t>
        </r>
      </text>
    </comment>
    <comment ref="D18" authorId="0" shapeId="0" xr:uid="{177CC48F-EB57-4F75-A08A-B1631E04F45D}">
      <text>
        <r>
          <rPr>
            <b/>
            <sz val="9"/>
            <color indexed="81"/>
            <rFont val="Tahoma"/>
            <family val="2"/>
          </rPr>
          <t>Chiel:</t>
        </r>
        <r>
          <rPr>
            <sz val="9"/>
            <color indexed="81"/>
            <rFont val="Tahoma"/>
            <family val="2"/>
          </rPr>
          <t xml:space="preserve">
manually adjusted to be in same order of magnitude as literature
see: https://pubchem.ncbi.nlm.nih.gov/compound/Sulfuric-acid#section=Structures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tc={FAFA8C7C-6800-4018-947D-B9F524B630BA}</author>
  </authors>
  <commentList>
    <comment ref="B6" authorId="0" shapeId="0" xr:uid="{FAFA8C7C-6800-4018-947D-B9F524B630BA}">
      <text>
        <t>[Threaded comment]
Your version of Excel allows you to read this threaded comment; however, any edits to it will get removed if the file is opened in a newer version of Excel. Learn more: https://go.microsoft.com/fwlink/?linkid=870924
Comment:
    From [Strous1998]</t>
      </text>
    </comment>
  </commentList>
</comments>
</file>

<file path=xl/sharedStrings.xml><?xml version="1.0" encoding="utf-8"?>
<sst xmlns="http://schemas.openxmlformats.org/spreadsheetml/2006/main" count="470" uniqueCount="226">
  <si>
    <t>g</t>
  </si>
  <si>
    <t>C</t>
  </si>
  <si>
    <t>H</t>
  </si>
  <si>
    <t>N</t>
  </si>
  <si>
    <t>Temperature</t>
  </si>
  <si>
    <t>K</t>
  </si>
  <si>
    <t>eD</t>
  </si>
  <si>
    <t>AOB</t>
  </si>
  <si>
    <t>NH3</t>
  </si>
  <si>
    <t>NO2</t>
  </si>
  <si>
    <t>AMX</t>
  </si>
  <si>
    <t>Cat</t>
  </si>
  <si>
    <t>Anab</t>
  </si>
  <si>
    <t>Decay</t>
  </si>
  <si>
    <t>NO3</t>
  </si>
  <si>
    <t>O2</t>
  </si>
  <si>
    <t>CO2</t>
  </si>
  <si>
    <t>SO4</t>
  </si>
  <si>
    <t>Na</t>
  </si>
  <si>
    <t>gN2</t>
  </si>
  <si>
    <t>H2O</t>
  </si>
  <si>
    <t>mol/L</t>
  </si>
  <si>
    <t>L</t>
  </si>
  <si>
    <t>G</t>
  </si>
  <si>
    <t>D</t>
  </si>
  <si>
    <t>FORMS</t>
  </si>
  <si>
    <t>Inf</t>
  </si>
  <si>
    <t>NA</t>
  </si>
  <si>
    <t>m</t>
  </si>
  <si>
    <t>g/m3</t>
  </si>
  <si>
    <t>g/mol</t>
  </si>
  <si>
    <t>-</t>
  </si>
  <si>
    <t>m3</t>
  </si>
  <si>
    <t>HRT</t>
  </si>
  <si>
    <t>h</t>
  </si>
  <si>
    <t>nx</t>
  </si>
  <si>
    <t>ny</t>
  </si>
  <si>
    <t>maxx</t>
  </si>
  <si>
    <t>maxy</t>
  </si>
  <si>
    <t>dx</t>
  </si>
  <si>
    <t>dy</t>
  </si>
  <si>
    <t>dz</t>
  </si>
  <si>
    <t>m2/h</t>
  </si>
  <si>
    <t>Simulation description</t>
  </si>
  <si>
    <t>Goal</t>
  </si>
  <si>
    <t>Simulation name</t>
  </si>
  <si>
    <t>Neut</t>
  </si>
  <si>
    <t>[NH3]sp=20mM</t>
  </si>
  <si>
    <t>AOB/NOB system</t>
  </si>
  <si>
    <t>T=20C, pH=7.7</t>
  </si>
  <si>
    <t>[O2]=6mg/L</t>
  </si>
  <si>
    <t>kDist</t>
  </si>
  <si>
    <t>CMX flexibility</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</si>
  <si>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</si>
  <si>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</si>
  <si>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</si>
  <si>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</si>
  <si>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</si>
  <si>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</si>
  <si>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</si>
  <si>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</si>
  <si>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</si>
  <si>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</si>
  <si>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</si>
  <si>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</si>
  <si>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</si>
  <si>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</si>
  <si>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</si>
  <si>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</si>
  <si>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</si>
  <si>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</si>
  <si>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</si>
  <si>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</si>
  <si>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</si>
  <si>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</si>
  <si>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</si>
  <si>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</si>
  <si>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</si>
  <si>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</si>
  <si>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</si>
  <si>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</si>
  <si>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</si>
  <si>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</si>
  <si>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</si>
  <si>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</si>
  <si>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</si>
  <si>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</si>
  <si>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</si>
  <si>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</si>
  <si>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</si>
  <si>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</si>
  <si>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</si>
  <si>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</si>
  <si>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</si>
  <si>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</si>
  <si>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</si>
  <si>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</si>
  <si>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</si>
  <si>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</si>
  <si>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</si>
  <si>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</si>
  <si>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</si>
  <si>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</si>
  <si>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</si>
  <si>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</si>
  <si>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</si>
  <si>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</si>
  <si>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</si>
  <si>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</si>
  <si>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</si>
  <si>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</si>
  <si>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</si>
  <si>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</si>
  <si>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</si>
  <si>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</si>
  <si>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</si>
  <si>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</si>
  <si>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</si>
  <si>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</si>
  <si>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</si>
  <si>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</si>
  <si>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</si>
  <si>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</si>
  <si>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</si>
  <si>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</si>
  <si>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</si>
  <si>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</si>
  <si>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</si>
  <si>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</si>
  <si>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</si>
  <si>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</si>
  <si>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</si>
  <si>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</si>
  <si>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</si>
  <si>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</si>
  <si>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</si>
  <si>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</si>
  <si>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</si>
  <si>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</si>
  <si>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</si>
  <si>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</si>
  <si>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</si>
  <si>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</si>
  <si>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</si>
  <si>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</si>
  <si>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</si>
  <si>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</si>
  <si>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</si>
  <si>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</si>
  <si>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</si>
  <si>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granule</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</si>
  <si>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</si>
  <si>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</si>
  <si>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</si>
  <si>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</si>
  <si>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</si>
  <si>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</si>
  <si>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</si>
  <si>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</si>
  <si>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</si>
  <si>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</si>
  <si>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</si>
  <si>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</si>
  <si>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</si>
  <si>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</si>
  <si>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</si>
  <si>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</si>
  <si>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</si>
  <si>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</si>
  <si>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</si>
  <si>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</si>
  <si>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</si>
  <si>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</si>
  <si>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</si>
  <si>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</si>
  <si>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</si>
  <si>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Yield C/N</t>
  </si>
  <si>
    <t>Add columns with per bacterial species the Ki values per substrate. Make sure that the compound and bacterium names match the rest of the Excel file</t>
  </si>
  <si>
    <t>Add columns with per bacterial species the Ks values per substrate. Make sure that the compound and bacterium names match the rest of the Excel file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</si>
  <si>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</si>
  <si>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</si>
  <si>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</si>
  <si>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</si>
  <si>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</si>
  <si>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</si>
  <si>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</si>
  <si>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</si>
  <si>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</si>
  <si>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</si>
  <si>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</si>
  <si>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</si>
  <si>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</si>
  <si>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</si>
  <si>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</si>
  <si>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</si>
  <si>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</si>
  <si>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</si>
  <si>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</si>
  <si>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</si>
  <si>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</si>
  <si>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</si>
  <si>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</si>
  <si>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</si>
  <si>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Fill in the yields &amp; electron donor molecules for each species. If the maintenance and growth rate are to be set, fill them in as well. If these are to be calculated on the fly, leave blank or fill in 'NA'. The formula for the maintenance and growth rate should manually be added to the calculate_max_growth_rate_and_maint.m script</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</si>
  <si>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</si>
  <si>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</si>
  <si>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</si>
  <si>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density granule</t>
  </si>
  <si>
    <t>g/L</t>
  </si>
  <si>
    <t>How dense are the granules</t>
  </si>
  <si>
    <t>density reactor</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</si>
  <si>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</si>
  <si>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</si>
  <si>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</si>
  <si>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</si>
  <si>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</si>
  <si>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</si>
  <si>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</si>
  <si>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</si>
  <si>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</si>
  <si>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</si>
  <si>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</si>
  <si>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mechanistic</t>
  </si>
  <si>
    <t>Nitrobacter</t>
  </si>
  <si>
    <t>Nitrospira</t>
  </si>
  <si>
    <t>Nitrotoga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</si>
</sst>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
    <numFmt numFmtId="170" formatCode="0.000E+00"/>
  </numFmts>
  <fonts count="21" x14ac:knownFonts="1">
    <font>
      <sz val="10"/>
      <name val="Arial"/>
    </font>
    <font>
      <sz val="11"/>
      <color theme="1"/>
      <name val="Calibri"/>
      <family val="2"/>
      <scheme val="minor"/>
    </font>
    <font>
      <sz val="10"/>
      <name val="Arial"/>
      <family val="2"/>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sz val="10"/>
      <name val="Arial"/>
      <family val="2"/>
    </font>
    <font>
      <sz val="11"/>
      <color rgb="FFFF0000"/>
      <name val="Calibri"/>
      <family val="2"/>
      <scheme val="minor"/>
    </font>
    <font>
      <i/>
      <sz val="11"/>
      <color rgb="FF7F7F7F"/>
      <name val="Calibri"/>
      <family val="2"/>
      <scheme val="minor"/>
    </font>
    <font>
      <sz val="9"/>
      <color indexed="81"/>
      <name val="Tahoma"/>
      <family val="2"/>
    </font>
    <font>
      <b/>
      <sz val="9"/>
      <color indexed="81"/>
      <name val="Tahoma"/>
      <family val="2"/>
    </font>
    <font>
      <sz val="8"/>
      <name val="Arial"/>
      <family val="2"/>
    </font>
    <font>
      <sz val="10"/>
      <color rgb="FF3F3F76"/>
      <name val="Arial"/>
      <family val="2"/>
    </font>
    <font>
      <b/>
      <u/>
      <sz val="16"/>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s>
  <borders count="7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medium">
        <color indexed="64"/>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medium">
        <color indexed="64"/>
      </left>
      <right style="thin">
        <color rgb="FFB2B2B2"/>
      </right>
      <top/>
      <bottom style="thin">
        <color indexed="64"/>
      </bottom>
      <diagonal/>
    </border>
    <border>
      <left style="medium">
        <color indexed="64"/>
      </left>
      <right style="thin">
        <color indexed="64"/>
      </right>
      <top/>
      <bottom style="thin">
        <color rgb="FFB2B2B2"/>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medium">
        <color indexed="64"/>
      </left>
      <right style="thin">
        <color rgb="FFB2B2B2"/>
      </right>
      <top/>
      <bottom style="thin">
        <color rgb="FFB2B2B2"/>
      </bottom>
      <diagonal/>
    </border>
    <border>
      <left style="thin">
        <color rgb="FFB2B2B2"/>
      </left>
      <right style="medium">
        <color indexed="64"/>
      </right>
      <top/>
      <bottom style="thin">
        <color rgb="FFB2B2B2"/>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style="thin">
        <color indexed="64"/>
      </left>
      <right style="medium">
        <color indexed="64"/>
      </right>
      <top/>
      <bottom style="thin">
        <color indexed="64"/>
      </bottom>
      <diagonal/>
    </border>
    <border>
      <left/>
      <right style="thin">
        <color rgb="FFB2B2B2"/>
      </right>
      <top/>
      <bottom style="thin">
        <color indexed="64"/>
      </bottom>
      <diagonal/>
    </border>
  </borders>
  <cellStyleXfs count="12">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13" fillId="0" borderId="0" applyFont="0" applyFill="0" applyBorder="0" applyAlignment="0" applyProtection="0"/>
    <xf numFmtId="0" fontId="14" fillId="0" borderId="0" applyNumberFormat="0" applyFill="0" applyBorder="0" applyAlignment="0" applyProtection="0"/>
    <xf numFmtId="0" fontId="13" fillId="4" borderId="23" applyNumberFormat="0" applyFont="0" applyAlignment="0" applyProtection="0"/>
    <xf numFmtId="0" fontId="15" fillId="0" borderId="0" applyNumberFormat="0" applyFill="0" applyBorder="0" applyAlignment="0" applyProtection="0"/>
  </cellStyleXfs>
  <cellXfs count="180">
    <xf numFmtId="0" fontId="0" fillId="0" borderId="0" xfId="0"/>
    <xf numFmtId="0" fontId="3" fillId="0" borderId="0" xfId="0" applyFont="1"/>
    <xf numFmtId="0" fontId="6" fillId="0" borderId="0" xfId="0" applyFont="1"/>
    <xf numFmtId="0" fontId="8" fillId="0" borderId="0" xfId="0" applyFont="1"/>
    <xf numFmtId="0" fontId="2" fillId="0" borderId="0" xfId="0" applyFont="1"/>
    <xf numFmtId="0" fontId="7" fillId="0" borderId="0" xfId="0" applyFont="1"/>
    <xf numFmtId="0" fontId="11" fillId="0" borderId="0" xfId="0" applyFont="1" applyAlignment="1">
      <alignment horizontal="center" vertical="center"/>
    </xf>
    <xf numFmtId="0" fontId="5" fillId="0" borderId="0" xfId="0" applyFont="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10" fillId="0" borderId="0" xfId="0" applyFont="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9" fillId="0" borderId="5" xfId="0" applyFont="1" applyBorder="1" applyAlignment="1">
      <alignment horizontal="center" vertical="center"/>
    </xf>
    <xf numFmtId="0" fontId="9" fillId="0" borderId="7" xfId="0" applyFont="1" applyBorder="1" applyAlignment="1">
      <alignment horizontal="center" vertical="center"/>
    </xf>
    <xf numFmtId="0" fontId="9" fillId="0" borderId="6" xfId="0" applyFont="1" applyBorder="1" applyAlignment="1">
      <alignment horizontal="center" vertical="center"/>
    </xf>
    <xf numFmtId="0" fontId="5" fillId="0" borderId="22" xfId="0" applyFont="1" applyBorder="1" applyAlignment="1">
      <alignment horizontal="center" vertical="center"/>
    </xf>
    <xf numFmtId="11" fontId="2" fillId="0" borderId="0" xfId="0" applyNumberFormat="1" applyFont="1"/>
    <xf numFmtId="0" fontId="4" fillId="0" borderId="0" xfId="0" applyFont="1"/>
    <xf numFmtId="0" fontId="4" fillId="0" borderId="0" xfId="0" applyFont="1" applyAlignment="1">
      <alignment horizontal="center"/>
    </xf>
    <xf numFmtId="0" fontId="0" fillId="4" borderId="23" xfId="10" applyFont="1" applyAlignment="1">
      <alignment horizontal="center"/>
    </xf>
    <xf numFmtId="11" fontId="15" fillId="0" borderId="10" xfId="11" applyNumberFormat="1" applyBorder="1" applyAlignment="1">
      <alignment horizontal="center" vertical="center"/>
    </xf>
    <xf numFmtId="2" fontId="15" fillId="0" borderId="10" xfId="11" applyNumberFormat="1" applyBorder="1" applyAlignment="1">
      <alignment horizontal="center" vertical="center"/>
    </xf>
    <xf numFmtId="0" fontId="2" fillId="4" borderId="24" xfId="10" applyFont="1" applyBorder="1" applyAlignment="1">
      <alignment horizontal="center" vertical="center"/>
    </xf>
    <xf numFmtId="0" fontId="0" fillId="4" borderId="25" xfId="10" applyFont="1" applyBorder="1" applyAlignment="1">
      <alignment horizontal="center"/>
    </xf>
    <xf numFmtId="0" fontId="2" fillId="4" borderId="25" xfId="10" applyFont="1" applyBorder="1" applyAlignment="1">
      <alignment horizontal="center" vertical="center"/>
    </xf>
    <xf numFmtId="11" fontId="2" fillId="4" borderId="23" xfId="10" applyNumberFormat="1" applyFont="1" applyBorder="1" applyAlignment="1">
      <alignment horizontal="center" vertical="center"/>
    </xf>
    <xf numFmtId="11" fontId="0" fillId="4" borderId="26" xfId="10" applyNumberFormat="1" applyFont="1" applyBorder="1" applyAlignment="1">
      <alignment horizontal="center" vertical="center"/>
    </xf>
    <xf numFmtId="0" fontId="2" fillId="4" borderId="27" xfId="10" applyFont="1" applyBorder="1" applyAlignment="1">
      <alignment horizontal="center" vertical="center"/>
    </xf>
    <xf numFmtId="0" fontId="2" fillId="4" borderId="23" xfId="10" applyNumberFormat="1" applyFont="1" applyBorder="1" applyAlignment="1">
      <alignment horizontal="center" vertical="center"/>
    </xf>
    <xf numFmtId="0" fontId="5" fillId="3" borderId="29" xfId="0" applyFont="1" applyFill="1" applyBorder="1" applyAlignment="1">
      <alignment horizontal="center" vertical="center"/>
    </xf>
    <xf numFmtId="0" fontId="5" fillId="3" borderId="33" xfId="0" applyFont="1" applyFill="1" applyBorder="1" applyAlignment="1">
      <alignment horizontal="center" vertical="center"/>
    </xf>
    <xf numFmtId="0" fontId="2" fillId="4" borderId="34" xfId="10" applyFont="1" applyBorder="1" applyAlignment="1">
      <alignment horizontal="center" vertical="center"/>
    </xf>
    <xf numFmtId="0" fontId="15" fillId="0" borderId="0" xfId="11" applyBorder="1" applyAlignment="1">
      <alignment wrapText="1"/>
    </xf>
    <xf numFmtId="0" fontId="15" fillId="0" borderId="8" xfId="11" applyBorder="1" applyAlignment="1">
      <alignment wrapText="1"/>
    </xf>
    <xf numFmtId="0" fontId="15" fillId="0" borderId="11" xfId="11" applyBorder="1" applyAlignment="1">
      <alignment wrapText="1"/>
    </xf>
    <xf numFmtId="0" fontId="15" fillId="0" borderId="28" xfId="11" applyBorder="1" applyAlignment="1">
      <alignment wrapText="1"/>
    </xf>
    <xf numFmtId="0" fontId="15" fillId="0" borderId="0" xfId="11" applyAlignment="1">
      <alignment wrapText="1"/>
    </xf>
    <xf numFmtId="0" fontId="15" fillId="0" borderId="32" xfId="11" applyBorder="1" applyAlignment="1">
      <alignment wrapText="1"/>
    </xf>
    <xf numFmtId="0" fontId="15" fillId="0" borderId="0" xfId="11" applyFill="1" applyBorder="1" applyAlignment="1">
      <alignment wrapText="1"/>
    </xf>
    <xf numFmtId="0" fontId="15" fillId="0" borderId="8" xfId="11" applyFill="1" applyBorder="1" applyAlignment="1">
      <alignment wrapText="1"/>
    </xf>
    <xf numFmtId="11" fontId="2" fillId="4" borderId="25" xfId="10" applyNumberFormat="1" applyFont="1" applyBorder="1" applyAlignment="1">
      <alignment horizontal="center" vertical="center"/>
    </xf>
    <xf numFmtId="9" fontId="2" fillId="4" borderId="24" xfId="8" applyFont="1" applyFill="1" applyBorder="1" applyAlignment="1">
      <alignment horizontal="center" vertical="center"/>
    </xf>
    <xf numFmtId="11" fontId="0" fillId="4" borderId="25" xfId="10" applyNumberFormat="1" applyFont="1" applyBorder="1" applyAlignment="1">
      <alignment horizontal="center"/>
    </xf>
    <xf numFmtId="0" fontId="0" fillId="4" borderId="25" xfId="10" applyFont="1" applyBorder="1" applyAlignment="1">
      <alignment horizontal="center" vertical="center"/>
    </xf>
    <xf numFmtId="0" fontId="15" fillId="0" borderId="1" xfId="11" applyBorder="1" applyAlignment="1">
      <alignment wrapText="1"/>
    </xf>
    <xf numFmtId="0" fontId="9" fillId="0" borderId="6" xfId="0" applyFont="1" applyFill="1" applyBorder="1" applyAlignment="1">
      <alignment horizontal="center" vertical="center"/>
    </xf>
    <xf numFmtId="0" fontId="9" fillId="0" borderId="31" xfId="0" applyFont="1" applyFill="1" applyBorder="1" applyAlignment="1">
      <alignment horizontal="center" vertical="center"/>
    </xf>
    <xf numFmtId="0" fontId="9" fillId="0" borderId="17" xfId="0" applyFont="1" applyBorder="1" applyAlignment="1">
      <alignment horizontal="center" vertical="center"/>
    </xf>
    <xf numFmtId="0" fontId="9" fillId="0" borderId="5" xfId="0" applyFont="1" applyFill="1" applyBorder="1" applyAlignment="1">
      <alignment horizontal="center" vertical="center"/>
    </xf>
    <xf numFmtId="11" fontId="15" fillId="0" borderId="0" xfId="11" applyNumberFormat="1" applyAlignment="1">
      <alignment horizontal="center" vertical="center"/>
    </xf>
    <xf numFmtId="11" fontId="0" fillId="4" borderId="35" xfId="10" applyNumberFormat="1" applyFont="1" applyBorder="1" applyAlignment="1">
      <alignment horizontal="center"/>
    </xf>
    <xf numFmtId="0" fontId="15" fillId="0" borderId="0" xfId="11" applyBorder="1" applyAlignment="1">
      <alignment vertical="center" wrapText="1"/>
    </xf>
    <xf numFmtId="11" fontId="0" fillId="4" borderId="25" xfId="10" applyNumberFormat="1" applyFont="1" applyBorder="1" applyAlignment="1">
      <alignment horizontal="center" vertical="center"/>
    </xf>
    <xf numFmtId="0" fontId="0" fillId="4" borderId="25" xfId="10" applyNumberFormat="1" applyFont="1" applyBorder="1" applyAlignment="1">
      <alignment horizontal="center" vertical="center"/>
    </xf>
    <xf numFmtId="0" fontId="0" fillId="4" borderId="23" xfId="10" applyFont="1" applyBorder="1" applyAlignment="1">
      <alignment horizontal="center" vertical="center"/>
    </xf>
    <xf numFmtId="0" fontId="3" fillId="4" borderId="30" xfId="10" applyFont="1" applyBorder="1" applyAlignment="1">
      <alignment vertical="center"/>
    </xf>
    <xf numFmtId="11" fontId="0" fillId="4" borderId="34" xfId="10" applyNumberFormat="1" applyFont="1" applyBorder="1" applyAlignment="1">
      <alignment horizontal="center" vertical="center"/>
    </xf>
    <xf numFmtId="0" fontId="15" fillId="0" borderId="1" xfId="11" applyBorder="1" applyAlignment="1">
      <alignment vertical="center" wrapText="1"/>
    </xf>
    <xf numFmtId="0" fontId="0" fillId="4" borderId="36" xfId="10" applyNumberFormat="1" applyFont="1" applyBorder="1" applyAlignment="1">
      <alignment horizontal="center" vertical="center"/>
    </xf>
    <xf numFmtId="0" fontId="5" fillId="3" borderId="37" xfId="0" applyFont="1" applyFill="1" applyBorder="1" applyAlignment="1">
      <alignment horizontal="center" vertical="center"/>
    </xf>
    <xf numFmtId="0" fontId="0" fillId="4" borderId="38" xfId="10" applyNumberFormat="1" applyFont="1" applyBorder="1" applyAlignment="1">
      <alignment horizontal="center" vertical="center"/>
    </xf>
    <xf numFmtId="0" fontId="9" fillId="0" borderId="16" xfId="0" applyFont="1" applyBorder="1" applyAlignment="1">
      <alignment horizontal="center" vertical="center"/>
    </xf>
    <xf numFmtId="0" fontId="15" fillId="0" borderId="4" xfId="11" applyBorder="1" applyAlignment="1">
      <alignment vertical="center" wrapText="1"/>
    </xf>
    <xf numFmtId="0" fontId="15" fillId="0" borderId="0" xfId="11" applyFill="1" applyBorder="1" applyAlignment="1">
      <alignment vertical="center" wrapText="1"/>
    </xf>
    <xf numFmtId="11" fontId="5" fillId="4" borderId="39" xfId="10" applyNumberFormat="1" applyFont="1" applyBorder="1" applyAlignment="1">
      <alignment horizontal="center" vertical="center"/>
    </xf>
    <xf numFmtId="0" fontId="2" fillId="0" borderId="0" xfId="0" applyFont="1" applyFill="1" applyBorder="1"/>
    <xf numFmtId="0" fontId="3" fillId="0" borderId="0" xfId="0" applyFont="1" applyFill="1" applyBorder="1"/>
    <xf numFmtId="0" fontId="5" fillId="0" borderId="0" xfId="0" applyFont="1" applyFill="1" applyBorder="1" applyAlignment="1">
      <alignment horizontal="center" vertical="center"/>
    </xf>
    <xf numFmtId="11" fontId="2"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5" fillId="3" borderId="40" xfId="0" applyFont="1" applyFill="1" applyBorder="1" applyAlignment="1">
      <alignment horizontal="center" vertical="center"/>
    </xf>
    <xf numFmtId="11" fontId="0" fillId="4" borderId="41" xfId="10" applyNumberFormat="1" applyFont="1" applyBorder="1" applyAlignment="1">
      <alignment horizontal="center" vertical="center"/>
    </xf>
    <xf numFmtId="0" fontId="9" fillId="0" borderId="22" xfId="0" applyFont="1" applyBorder="1" applyAlignment="1">
      <alignment horizontal="center" vertical="center"/>
    </xf>
    <xf numFmtId="0" fontId="15" fillId="0" borderId="0" xfId="11" applyNumberFormat="1" applyAlignment="1">
      <alignment horizontal="center" vertical="center"/>
    </xf>
    <xf numFmtId="169" fontId="0" fillId="4" borderId="23" xfId="10" applyNumberFormat="1" applyFont="1" applyAlignment="1">
      <alignment horizontal="center"/>
    </xf>
    <xf numFmtId="0" fontId="5" fillId="3" borderId="44" xfId="0" applyFont="1" applyFill="1" applyBorder="1" applyAlignment="1">
      <alignment horizontal="center" vertical="center"/>
    </xf>
    <xf numFmtId="11" fontId="2" fillId="4" borderId="23" xfId="10" applyNumberFormat="1" applyFont="1" applyAlignment="1">
      <alignment horizontal="center" vertical="center"/>
    </xf>
    <xf numFmtId="0" fontId="2" fillId="4" borderId="23" xfId="10" applyFont="1" applyAlignment="1">
      <alignment horizontal="center" vertical="center"/>
    </xf>
    <xf numFmtId="11" fontId="0" fillId="4" borderId="23" xfId="10" applyNumberFormat="1" applyFont="1" applyAlignment="1">
      <alignment horizontal="center" vertical="center"/>
    </xf>
    <xf numFmtId="0" fontId="12" fillId="3" borderId="37" xfId="0" applyFont="1" applyFill="1" applyBorder="1" applyAlignment="1">
      <alignment horizontal="center" vertical="center"/>
    </xf>
    <xf numFmtId="0" fontId="12" fillId="3" borderId="20" xfId="0" applyFont="1" applyFill="1" applyBorder="1" applyAlignment="1">
      <alignment horizontal="center" vertical="center"/>
    </xf>
    <xf numFmtId="0" fontId="5" fillId="3" borderId="12" xfId="0" applyFont="1" applyFill="1" applyBorder="1" applyAlignment="1">
      <alignment horizontal="center"/>
    </xf>
    <xf numFmtId="0" fontId="4" fillId="3" borderId="14"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4" fillId="3" borderId="14" xfId="0" applyFont="1" applyFill="1" applyBorder="1" applyAlignment="1">
      <alignment horizontal="center" wrapText="1"/>
    </xf>
    <xf numFmtId="0" fontId="4" fillId="3" borderId="13" xfId="0" applyFont="1" applyFill="1" applyBorder="1" applyAlignment="1">
      <alignment horizontal="center" wrapText="1"/>
    </xf>
    <xf numFmtId="0" fontId="5" fillId="4" borderId="47" xfId="10" applyFont="1" applyBorder="1" applyAlignment="1">
      <alignment horizontal="center" vertical="center"/>
    </xf>
    <xf numFmtId="0" fontId="5" fillId="4" borderId="45" xfId="10" applyFont="1" applyBorder="1" applyAlignment="1">
      <alignment horizontal="center" vertical="center"/>
    </xf>
    <xf numFmtId="0" fontId="5" fillId="4" borderId="46" xfId="10" applyFont="1" applyBorder="1" applyAlignment="1">
      <alignment horizontal="center" vertical="center"/>
    </xf>
    <xf numFmtId="2" fontId="2" fillId="4" borderId="23" xfId="10" applyNumberFormat="1" applyFont="1" applyAlignment="1">
      <alignment horizontal="center" vertical="center"/>
    </xf>
    <xf numFmtId="0" fontId="2" fillId="4" borderId="23" xfId="10" applyNumberFormat="1" applyFont="1" applyAlignment="1">
      <alignment horizontal="center" vertical="center"/>
    </xf>
    <xf numFmtId="11" fontId="19" fillId="5" borderId="23" xfId="10" applyNumberFormat="1" applyFont="1" applyFill="1" applyAlignment="1">
      <alignment horizontal="center" vertical="center"/>
    </xf>
    <xf numFmtId="1" fontId="2" fillId="4" borderId="23" xfId="10" applyNumberFormat="1" applyFont="1" applyAlignment="1">
      <alignment horizontal="center" vertical="center"/>
    </xf>
    <xf numFmtId="2" fontId="2" fillId="4" borderId="49" xfId="10" applyNumberFormat="1" applyFont="1" applyBorder="1" applyAlignment="1">
      <alignment horizontal="center" vertical="center"/>
    </xf>
    <xf numFmtId="2" fontId="2" fillId="4" borderId="25" xfId="10" applyNumberFormat="1" applyFont="1" applyBorder="1" applyAlignment="1">
      <alignment horizontal="center" vertical="center"/>
    </xf>
    <xf numFmtId="2" fontId="2" fillId="4" borderId="41" xfId="10" applyNumberFormat="1" applyFont="1" applyBorder="1" applyAlignment="1">
      <alignment horizontal="center" vertical="center"/>
    </xf>
    <xf numFmtId="2" fontId="2" fillId="4" borderId="50" xfId="10" applyNumberFormat="1" applyFont="1" applyBorder="1" applyAlignment="1">
      <alignment horizontal="center" vertical="center"/>
    </xf>
    <xf numFmtId="2" fontId="2" fillId="4" borderId="51" xfId="10" applyNumberFormat="1" applyFont="1" applyBorder="1" applyAlignment="1">
      <alignment horizontal="center" vertical="center"/>
    </xf>
    <xf numFmtId="0" fontId="2" fillId="4" borderId="25" xfId="10" applyNumberFormat="1" applyFont="1" applyBorder="1" applyAlignment="1">
      <alignment horizontal="center" vertical="center"/>
    </xf>
    <xf numFmtId="0" fontId="2" fillId="4" borderId="52" xfId="10" applyNumberFormat="1" applyFont="1" applyBorder="1" applyAlignment="1">
      <alignment horizontal="center" vertical="center"/>
    </xf>
    <xf numFmtId="0" fontId="2" fillId="4" borderId="53" xfId="10" applyNumberFormat="1" applyFont="1" applyBorder="1" applyAlignment="1">
      <alignment horizontal="center" vertical="center"/>
    </xf>
    <xf numFmtId="0" fontId="2" fillId="4" borderId="51" xfId="10" applyNumberFormat="1" applyFont="1" applyBorder="1" applyAlignment="1">
      <alignment horizontal="center" vertical="center"/>
    </xf>
    <xf numFmtId="0" fontId="2" fillId="4" borderId="41" xfId="10" applyNumberFormat="1" applyFont="1" applyBorder="1" applyAlignment="1">
      <alignment horizontal="center" vertical="center"/>
    </xf>
    <xf numFmtId="1" fontId="2" fillId="4" borderId="25" xfId="10" applyNumberFormat="1" applyFont="1" applyBorder="1" applyAlignment="1">
      <alignment horizontal="center" vertical="center"/>
    </xf>
    <xf numFmtId="1" fontId="2" fillId="4" borderId="52" xfId="10" applyNumberFormat="1" applyFont="1" applyBorder="1" applyAlignment="1">
      <alignment horizontal="center" vertical="center"/>
    </xf>
    <xf numFmtId="1" fontId="2" fillId="4" borderId="53" xfId="10" applyNumberFormat="1" applyFont="1" applyBorder="1" applyAlignment="1">
      <alignment horizontal="center" vertical="center"/>
    </xf>
    <xf numFmtId="1" fontId="2" fillId="4" borderId="51" xfId="10" applyNumberFormat="1" applyFont="1" applyBorder="1" applyAlignment="1">
      <alignment horizontal="center" vertical="center"/>
    </xf>
    <xf numFmtId="1" fontId="2" fillId="4" borderId="41" xfId="10" applyNumberFormat="1" applyFont="1" applyBorder="1" applyAlignment="1">
      <alignment horizontal="center" vertical="center"/>
    </xf>
    <xf numFmtId="1" fontId="2" fillId="4" borderId="54" xfId="10" applyNumberFormat="1" applyFont="1" applyBorder="1" applyAlignment="1">
      <alignment horizontal="center" vertical="center"/>
    </xf>
    <xf numFmtId="1" fontId="2" fillId="4" borderId="34" xfId="10" applyNumberFormat="1" applyFont="1" applyBorder="1" applyAlignment="1">
      <alignment horizontal="center" vertical="center"/>
    </xf>
    <xf numFmtId="0" fontId="2" fillId="4" borderId="54" xfId="10" applyNumberFormat="1" applyFont="1" applyBorder="1" applyAlignment="1">
      <alignment horizontal="center" vertical="center"/>
    </xf>
    <xf numFmtId="0" fontId="2" fillId="4" borderId="34" xfId="10" applyNumberFormat="1" applyFont="1" applyBorder="1" applyAlignment="1">
      <alignment horizontal="center" vertical="center"/>
    </xf>
    <xf numFmtId="0" fontId="19" fillId="5" borderId="53" xfId="10" applyFont="1" applyFill="1" applyBorder="1" applyAlignment="1">
      <alignment horizontal="center" vertical="center"/>
    </xf>
    <xf numFmtId="11" fontId="19" fillId="5" borderId="53" xfId="10" applyNumberFormat="1" applyFont="1" applyFill="1" applyBorder="1" applyAlignment="1">
      <alignment horizontal="center" vertical="center"/>
    </xf>
    <xf numFmtId="0" fontId="5" fillId="4" borderId="55" xfId="10" applyFont="1" applyBorder="1" applyAlignment="1">
      <alignment horizontal="center" vertical="center"/>
    </xf>
    <xf numFmtId="0" fontId="5" fillId="4" borderId="21" xfId="10" applyFont="1" applyBorder="1" applyAlignment="1">
      <alignment horizontal="center" vertical="center"/>
    </xf>
    <xf numFmtId="0" fontId="12" fillId="3" borderId="15" xfId="0" applyFont="1" applyFill="1" applyBorder="1" applyAlignment="1">
      <alignment horizontal="center" vertical="center"/>
    </xf>
    <xf numFmtId="0" fontId="5" fillId="2" borderId="56" xfId="0" applyFont="1" applyFill="1" applyBorder="1" applyAlignment="1">
      <alignment horizontal="center" vertical="center"/>
    </xf>
    <xf numFmtId="0" fontId="5" fillId="2" borderId="42" xfId="0" applyFont="1" applyFill="1" applyBorder="1" applyAlignment="1">
      <alignment horizontal="center" vertical="center"/>
    </xf>
    <xf numFmtId="0" fontId="5" fillId="2" borderId="57" xfId="0" applyFont="1" applyFill="1" applyBorder="1" applyAlignment="1">
      <alignment horizontal="center" vertical="center"/>
    </xf>
    <xf numFmtId="0" fontId="2" fillId="4" borderId="49" xfId="10" applyFont="1" applyBorder="1" applyAlignment="1">
      <alignment horizontal="center" vertical="center"/>
    </xf>
    <xf numFmtId="0" fontId="2" fillId="4" borderId="51" xfId="10" applyFont="1" applyBorder="1" applyAlignment="1">
      <alignment horizontal="center" vertical="center"/>
    </xf>
    <xf numFmtId="0" fontId="2" fillId="4" borderId="41" xfId="10" applyFont="1" applyBorder="1" applyAlignment="1">
      <alignment horizontal="center" vertical="center"/>
    </xf>
    <xf numFmtId="0" fontId="2" fillId="4" borderId="58" xfId="10" applyFont="1" applyBorder="1" applyAlignment="1">
      <alignment horizontal="center" vertical="center"/>
    </xf>
    <xf numFmtId="0" fontId="2" fillId="4" borderId="59" xfId="10" applyFont="1" applyBorder="1" applyAlignment="1">
      <alignment horizontal="center" vertical="center"/>
    </xf>
    <xf numFmtId="0" fontId="2" fillId="4" borderId="60" xfId="10" applyFont="1" applyBorder="1" applyAlignment="1">
      <alignment horizontal="center" vertical="center"/>
    </xf>
    <xf numFmtId="0" fontId="2" fillId="4" borderId="23" xfId="10" applyFont="1" applyBorder="1" applyAlignment="1">
      <alignment horizontal="center" vertical="center"/>
    </xf>
    <xf numFmtId="0" fontId="2" fillId="4" borderId="61" xfId="10" applyFont="1" applyBorder="1" applyAlignment="1">
      <alignment horizontal="center" vertical="center"/>
    </xf>
    <xf numFmtId="0" fontId="2" fillId="4" borderId="62" xfId="10" applyFont="1" applyBorder="1" applyAlignment="1">
      <alignment horizontal="center" vertical="center"/>
    </xf>
    <xf numFmtId="0" fontId="2" fillId="4" borderId="63" xfId="10" applyFont="1" applyBorder="1" applyAlignment="1">
      <alignment horizontal="center" vertical="center"/>
    </xf>
    <xf numFmtId="0" fontId="2" fillId="4" borderId="50" xfId="10" applyFont="1" applyBorder="1" applyAlignment="1">
      <alignment horizontal="center" vertical="center"/>
    </xf>
    <xf numFmtId="0" fontId="2" fillId="4" borderId="64" xfId="10" applyFont="1" applyBorder="1" applyAlignment="1">
      <alignment horizontal="center" vertical="center"/>
    </xf>
    <xf numFmtId="0" fontId="2" fillId="4" borderId="65" xfId="10" applyFont="1" applyBorder="1" applyAlignment="1">
      <alignment horizontal="center" vertical="center"/>
    </xf>
    <xf numFmtId="0" fontId="2" fillId="4" borderId="26" xfId="10" applyFont="1" applyBorder="1" applyAlignment="1">
      <alignment horizontal="center" vertical="center"/>
    </xf>
    <xf numFmtId="0" fontId="2" fillId="4" borderId="66" xfId="10" applyFont="1" applyBorder="1" applyAlignment="1">
      <alignment horizontal="center" vertical="center"/>
    </xf>
    <xf numFmtId="0" fontId="0" fillId="0" borderId="0" xfId="0" applyFill="1"/>
    <xf numFmtId="0" fontId="15" fillId="0" borderId="0" xfId="11" applyAlignment="1">
      <alignment vertical="center" wrapText="1"/>
    </xf>
    <xf numFmtId="0" fontId="0" fillId="4" borderId="34" xfId="10" applyFont="1" applyBorder="1" applyAlignment="1">
      <alignment horizontal="center" vertical="center"/>
    </xf>
    <xf numFmtId="0" fontId="5" fillId="3" borderId="19" xfId="0" applyFont="1" applyFill="1" applyBorder="1" applyAlignment="1">
      <alignment horizontal="center" vertical="center" wrapText="1"/>
    </xf>
    <xf numFmtId="2" fontId="15" fillId="0" borderId="19" xfId="11" applyNumberFormat="1" applyBorder="1" applyAlignment="1">
      <alignment horizontal="center" vertical="center" wrapText="1"/>
    </xf>
    <xf numFmtId="0" fontId="9" fillId="0" borderId="19" xfId="0" applyFont="1" applyBorder="1" applyAlignment="1">
      <alignment horizontal="center" vertical="center" wrapText="1"/>
    </xf>
    <xf numFmtId="11" fontId="19" fillId="5" borderId="19" xfId="10" applyNumberFormat="1" applyFont="1" applyFill="1" applyBorder="1" applyAlignment="1">
      <alignment horizontal="center" vertical="center" wrapText="1"/>
    </xf>
    <xf numFmtId="11" fontId="0" fillId="4" borderId="20" xfId="10" applyNumberFormat="1" applyFont="1" applyBorder="1" applyAlignment="1">
      <alignment horizontal="center" vertical="center" wrapText="1"/>
    </xf>
    <xf numFmtId="0" fontId="0" fillId="4" borderId="18" xfId="10" applyFont="1" applyBorder="1" applyAlignment="1">
      <alignment horizontal="center" vertical="center" wrapText="1"/>
    </xf>
    <xf numFmtId="0" fontId="0" fillId="0" borderId="0" xfId="0" applyAlignment="1">
      <alignment wrapText="1"/>
    </xf>
    <xf numFmtId="0" fontId="20" fillId="0" borderId="0" xfId="0" applyFont="1"/>
    <xf numFmtId="0" fontId="2" fillId="0" borderId="0" xfId="0" applyFont="1" applyAlignment="1">
      <alignment wrapText="1"/>
    </xf>
    <xf numFmtId="0" fontId="0" fillId="4" borderId="34" xfId="10" applyNumberFormat="1" applyFont="1" applyBorder="1" applyAlignment="1">
      <alignment horizontal="center" vertical="center"/>
    </xf>
    <xf numFmtId="0" fontId="9" fillId="0" borderId="17" xfId="0" applyFont="1" applyFill="1" applyBorder="1" applyAlignment="1">
      <alignment horizontal="center" vertical="center"/>
    </xf>
    <xf numFmtId="0" fontId="15" fillId="0" borderId="1" xfId="11" applyFill="1" applyBorder="1" applyAlignment="1">
      <alignment vertical="center" wrapText="1"/>
    </xf>
    <xf numFmtId="0" fontId="15" fillId="0" borderId="10" xfId="11" applyBorder="1" applyAlignment="1">
      <alignment vertical="center" wrapText="1"/>
    </xf>
    <xf numFmtId="0" fontId="0" fillId="4" borderId="23" xfId="10" applyNumberFormat="1" applyFont="1" applyAlignment="1">
      <alignment horizontal="center"/>
    </xf>
    <xf numFmtId="11" fontId="2" fillId="4" borderId="38" xfId="10" applyNumberFormat="1" applyFont="1" applyBorder="1" applyAlignment="1">
      <alignment horizontal="center" vertical="center"/>
    </xf>
    <xf numFmtId="0" fontId="9" fillId="0" borderId="67" xfId="0" applyFont="1" applyBorder="1" applyAlignment="1">
      <alignment horizontal="center" vertical="center"/>
    </xf>
    <xf numFmtId="0" fontId="5" fillId="3" borderId="68" xfId="0" applyFont="1" applyFill="1" applyBorder="1" applyAlignment="1">
      <alignment horizontal="center" vertical="center" wrapText="1"/>
    </xf>
    <xf numFmtId="0" fontId="0" fillId="4" borderId="69" xfId="10" applyNumberFormat="1" applyFont="1" applyBorder="1" applyAlignment="1">
      <alignment horizontal="center" vertical="center"/>
    </xf>
    <xf numFmtId="0" fontId="0" fillId="4" borderId="25" xfId="8" applyNumberFormat="1" applyFont="1" applyFill="1" applyBorder="1" applyAlignment="1">
      <alignment horizontal="center" vertical="center"/>
    </xf>
    <xf numFmtId="0" fontId="2" fillId="4" borderId="25" xfId="8" applyNumberFormat="1" applyFont="1" applyFill="1" applyBorder="1" applyAlignment="1">
      <alignment horizontal="center" vertical="center"/>
    </xf>
    <xf numFmtId="11" fontId="0" fillId="0" borderId="0" xfId="0" applyNumberFormat="1"/>
    <xf numFmtId="170" fontId="2" fillId="4" borderId="23" xfId="10" applyNumberFormat="1" applyFont="1" applyAlignment="1">
      <alignment horizontal="center" vertical="center"/>
    </xf>
    <xf numFmtId="0" fontId="15" fillId="0" borderId="0" xfId="1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14" fillId="0" borderId="0" xfId="9" applyFill="1" applyBorder="1" applyAlignment="1">
      <alignment horizontal="center" vertical="center" wrapText="1"/>
    </xf>
    <xf numFmtId="0" fontId="14" fillId="0" borderId="8" xfId="9" applyFill="1" applyBorder="1" applyAlignment="1">
      <alignment horizontal="center" vertical="center" wrapText="1"/>
    </xf>
    <xf numFmtId="0" fontId="15" fillId="0" borderId="0" xfId="11" applyBorder="1" applyAlignment="1">
      <alignment horizontal="center" vertical="center" wrapText="1"/>
    </xf>
    <xf numFmtId="0" fontId="15" fillId="0" borderId="10" xfId="11" applyBorder="1" applyAlignment="1">
      <alignment horizontal="center" vertical="center" wrapText="1"/>
    </xf>
    <xf numFmtId="0" fontId="5" fillId="3" borderId="48" xfId="0" applyFont="1" applyFill="1" applyBorder="1" applyAlignment="1">
      <alignment horizontal="center"/>
    </xf>
    <xf numFmtId="0" fontId="5" fillId="3" borderId="43" xfId="0" applyFont="1" applyFill="1" applyBorder="1" applyAlignment="1">
      <alignment horizontal="center"/>
    </xf>
    <xf numFmtId="0" fontId="5" fillId="3" borderId="13" xfId="0" applyFont="1" applyFill="1" applyBorder="1" applyAlignment="1">
      <alignment horizontal="center"/>
    </xf>
    <xf numFmtId="0" fontId="4" fillId="3" borderId="2" xfId="0" applyFont="1" applyFill="1" applyBorder="1" applyAlignment="1">
      <alignment horizontal="center"/>
    </xf>
    <xf numFmtId="0" fontId="4" fillId="3" borderId="9" xfId="0" applyFont="1" applyFill="1" applyBorder="1" applyAlignment="1">
      <alignment horizontal="center"/>
    </xf>
    <xf numFmtId="0" fontId="4" fillId="3" borderId="3" xfId="0" applyFont="1" applyFill="1" applyBorder="1" applyAlignment="1">
      <alignment horizontal="center"/>
    </xf>
  </cellXfs>
  <cellStyles count="12">
    <cellStyle name="Euro" xfId="1" xr:uid="{00000000-0005-0000-0000-000000000000}"/>
    <cellStyle name="Explanatory Text" xfId="11"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10" builtinId="10"/>
    <cellStyle name="Percent" xfId="8" builtinId="5"/>
    <cellStyle name="Warning Text" xfId="9" builtinId="11"/>
  </cellStyles>
  <dxfs count="71">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hiel van Amstel" id="{969302A7-3B3A-4079-852A-4AE1C0564048}" userId="Chiel van Amstel" providerId="None"/>
  <person displayName="Eloi Martínez-Rabert (PGR)" id="{5CC223E8-22CF-48C3-ABCE-0A00391E726E}" userId="S::2424069M@student.gla.ac.uk::cb616271-4a7a-48f5-8972-853218eda0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1" dT="2021-12-16T15:08:36.62" personId="{969302A7-3B3A-4079-852A-4AE1C0564048}" id="{873F5D62-7A36-441D-909B-5D8DF0BCC1F4}">
    <text>Lemaire2008 -&gt; order of magnitude 30-80 g/L for synthetic feed, 150 g/L in their experiment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2-06-01T12:54:08.83" personId="{5CC223E8-22CF-48C3-ABCE-0A00391E726E}" id="{39C3F1E7-313F-41C1-BEA1-5D4A070A352E}">
    <text>70% of diffusion coefficient (aq). From Berg et al. (2020). How to measure diffusion coefficients in biofilms: A critical analysis.</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2-06-01T08:28:43.45" personId="{5CC223E8-22CF-48C3-ABCE-0A00391E726E}" id="{AAB0138B-EC14-4FA4-84D5-32A8A09E2735}">
    <text>From Poot2016. SI (Fig S2)</text>
  </threadedComment>
</ThreadedComments>
</file>

<file path=xl/threadedComments/threadedComment4.xml><?xml version="1.0" encoding="utf-8"?>
<ThreadedComments xmlns="http://schemas.microsoft.com/office/spreadsheetml/2018/threadedcomments" xmlns:x="http://schemas.openxmlformats.org/spreadsheetml/2006/main">
  <threadedComment ref="B6" dT="2021-05-06T16:02:09.77" personId="{5CC223E8-22CF-48C3-ABCE-0A00391E726E}" id="{FAFA8C7C-6800-4018-947D-B9F524B630BA}">
    <text>From [Strous1998]</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 Id="rId4" Type="http://schemas.microsoft.com/office/2017/10/relationships/threadedComment" Target="../threadedComments/threadedComment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C17"/>
  <sheetViews>
    <sheetView workbookViewId="0">
      <selection activeCell="C16" sqref="C16"/>
    </sheetView>
  </sheetViews>
  <sheetFormatPr defaultRowHeight="13.2" x14ac:dyDescent="0.25"/>
  <cols>
    <col min="1" max="1" width="44.44140625" customWidth="1"/>
    <col min="2" max="2" width="33.88671875" customWidth="1"/>
    <col min="3" max="3" width="45" customWidth="1"/>
  </cols>
  <sheetData>
    <row r="1" spans="1:3" x14ac:dyDescent="0.25">
      <c r="A1" s="20" t="s">
        <v>45</v>
      </c>
      <c r="B1" s="20" t="s">
        <v>43</v>
      </c>
      <c r="C1" s="20" t="s">
        <v>44</v>
      </c>
    </row>
    <row r="2" spans="1:3" x14ac:dyDescent="0.25">
      <c r="A2" s="19" t="s">
        <v>52</v>
      </c>
      <c r="B2" s="4" t="s">
        <v>47</v>
      </c>
      <c r="C2" s="4" t="s">
        <v>48</v>
      </c>
    </row>
    <row r="3" spans="1:3" x14ac:dyDescent="0.25">
      <c r="B3" s="4" t="s">
        <v>50</v>
      </c>
    </row>
    <row r="4" spans="1:3" x14ac:dyDescent="0.25">
      <c r="B4" s="4" t="s">
        <v>49</v>
      </c>
    </row>
    <row r="9" spans="1:3" ht="21" x14ac:dyDescent="0.4">
      <c r="A9" s="149" t="s">
        <v>192</v>
      </c>
    </row>
    <row r="10" spans="1:3" ht="52.8" x14ac:dyDescent="0.25">
      <c r="A10" s="150" t="s">
        <v>193</v>
      </c>
    </row>
    <row r="11" spans="1:3" ht="27" thickBot="1" x14ac:dyDescent="0.3">
      <c r="A11" s="148" t="s">
        <v>194</v>
      </c>
    </row>
    <row r="12" spans="1:3" x14ac:dyDescent="0.25">
      <c r="A12" s="147" t="s">
        <v>198</v>
      </c>
    </row>
    <row r="13" spans="1:3" ht="28.8" x14ac:dyDescent="0.25">
      <c r="A13" s="143" t="s">
        <v>195</v>
      </c>
    </row>
    <row r="14" spans="1:3" ht="26.4" x14ac:dyDescent="0.25">
      <c r="A14" s="142" t="s">
        <v>196</v>
      </c>
    </row>
    <row r="15" spans="1:3" ht="52.8" x14ac:dyDescent="0.25">
      <c r="A15" s="144" t="s">
        <v>200</v>
      </c>
    </row>
    <row r="16" spans="1:3" ht="52.8" x14ac:dyDescent="0.25">
      <c r="A16" s="145" t="s">
        <v>197</v>
      </c>
    </row>
    <row r="17" spans="1:1" ht="40.200000000000003" thickBot="1" x14ac:dyDescent="0.3">
      <c r="A17" s="146" t="s">
        <v>199</v>
      </c>
    </row>
  </sheetData>
  <conditionalFormatting sqref="A15">
    <cfRule type="expression" dxfId="70" priority="6">
      <formula>$B$2 = FALSE</formula>
    </cfRule>
  </conditionalFormatting>
  <conditionalFormatting sqref="A16">
    <cfRule type="containsText" dxfId="69" priority="4" operator="containsText" text="NA">
      <formula>NOT(ISERROR(SEARCH("NA",A16)))</formula>
    </cfRule>
    <cfRule type="containsText" dxfId="68" priority="5" operator="containsText" text="Inf">
      <formula>NOT(ISERROR(SEARCH("Inf",A16)))</formula>
    </cfRule>
  </conditionalFormatting>
  <conditionalFormatting sqref="A16">
    <cfRule type="cellIs" dxfId="67" priority="3" operator="equal">
      <formula>0</formula>
    </cfRule>
  </conditionalFormatting>
  <conditionalFormatting sqref="A17">
    <cfRule type="expression" dxfId="66" priority="1">
      <formula>$B$11&lt;&gt;"naive"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G15"/>
  <sheetViews>
    <sheetView workbookViewId="0">
      <selection activeCell="B31" sqref="B31"/>
    </sheetView>
  </sheetViews>
  <sheetFormatPr defaultRowHeight="13.2" x14ac:dyDescent="0.25"/>
  <cols>
    <col min="1" max="1" width="30" bestFit="1" customWidth="1"/>
    <col min="2" max="2" width="14.109375" customWidth="1"/>
    <col min="3" max="3" width="40.88671875" customWidth="1"/>
  </cols>
  <sheetData>
    <row r="1" spans="1:7" ht="14.4" x14ac:dyDescent="0.25">
      <c r="A1" s="12" t="str">
        <f>Discretization!A15</f>
        <v>Dynamic dT</v>
      </c>
      <c r="B1" s="23" t="b">
        <f>Discretization!B15</f>
        <v>1</v>
      </c>
      <c r="C1" s="164" t="s">
        <v>190</v>
      </c>
    </row>
    <row r="2" spans="1:7" ht="14.4" x14ac:dyDescent="0.25">
      <c r="A2" s="12" t="str">
        <f>Parameters!A2</f>
        <v>Variable HRT</v>
      </c>
      <c r="B2" s="23" t="b">
        <f>Parameters!B2</f>
        <v>1</v>
      </c>
      <c r="C2" s="164"/>
    </row>
    <row r="3" spans="1:7" ht="14.4" x14ac:dyDescent="0.25">
      <c r="A3" s="12" t="str">
        <f>Bacteria!A6</f>
        <v>Initialisation method</v>
      </c>
      <c r="B3" s="23" t="str">
        <f>Bacteria!B6</f>
        <v>granule</v>
      </c>
      <c r="C3" s="164"/>
    </row>
    <row r="4" spans="1:7" ht="14.4" x14ac:dyDescent="0.25">
      <c r="A4" s="12" t="str">
        <f>Bacteria!A14</f>
        <v>Detachment method</v>
      </c>
      <c r="B4" s="23" t="str">
        <f>Bacteria!B14</f>
        <v>mechanistic</v>
      </c>
      <c r="C4" s="164"/>
    </row>
    <row r="5" spans="1:7" ht="14.4" x14ac:dyDescent="0.25">
      <c r="A5" s="12" t="str">
        <f>Bacteria!A13</f>
        <v>Inactivation enabled</v>
      </c>
      <c r="B5" s="23" t="b">
        <f>Bacteria!B13</f>
        <v>1</v>
      </c>
      <c r="C5" s="164"/>
    </row>
    <row r="6" spans="1:7" ht="14.4" x14ac:dyDescent="0.25">
      <c r="A6" s="12" t="str">
        <f>Solver!A4</f>
        <v>pH bulk concentration corrected</v>
      </c>
      <c r="B6" s="23" t="b">
        <f>Solver!B4</f>
        <v>1</v>
      </c>
      <c r="C6" s="164"/>
    </row>
    <row r="7" spans="1:7" ht="14.4" x14ac:dyDescent="0.25">
      <c r="A7" s="12" t="str">
        <f>Solver!A2</f>
        <v>pH solving included</v>
      </c>
      <c r="B7" s="23" t="b">
        <f>Solver!B2</f>
        <v>1</v>
      </c>
      <c r="C7" s="164"/>
    </row>
    <row r="8" spans="1:7" ht="14.4" customHeight="1" x14ac:dyDescent="0.25">
      <c r="A8" s="12" t="str">
        <f>Solver!A5</f>
        <v>Speciation included</v>
      </c>
      <c r="B8" s="23" t="b">
        <f>Solver!B5</f>
        <v>1</v>
      </c>
      <c r="C8" s="164"/>
    </row>
    <row r="9" spans="1:7" ht="13.2" customHeight="1" x14ac:dyDescent="0.25">
      <c r="C9" s="140"/>
      <c r="G9" s="139"/>
    </row>
    <row r="10" spans="1:7" ht="13.2" customHeight="1" x14ac:dyDescent="0.25">
      <c r="C10" s="140"/>
      <c r="G10" s="139"/>
    </row>
    <row r="11" spans="1:7" ht="13.2" customHeight="1" x14ac:dyDescent="0.25">
      <c r="C11" s="140"/>
      <c r="G11" s="139"/>
    </row>
    <row r="12" spans="1:7" ht="13.2" customHeight="1" x14ac:dyDescent="0.25">
      <c r="C12" s="140"/>
      <c r="G12" s="139"/>
    </row>
    <row r="13" spans="1:7" ht="13.2" customHeight="1" x14ac:dyDescent="0.25">
      <c r="C13" s="140"/>
    </row>
    <row r="14" spans="1:7" ht="13.2" customHeight="1" x14ac:dyDescent="0.25">
      <c r="C14" s="140"/>
    </row>
    <row r="15" spans="1:7" ht="13.2" customHeight="1" x14ac:dyDescent="0.25">
      <c r="C15" s="140"/>
    </row>
  </sheetData>
  <mergeCells count="1">
    <mergeCell ref="C1: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8"/>
  <sheetViews>
    <sheetView workbookViewId="0">
      <selection activeCell="B8" sqref="B8"/>
    </sheetView>
  </sheetViews>
  <sheetFormatPr defaultColWidth="9.109375" defaultRowHeight="13.2" x14ac:dyDescent="0.25"/>
  <cols>
    <col min="1" max="1" width="33.6640625" style="1" bestFit="1" customWidth="1"/>
    <col min="2" max="3" width="9.109375" style="1"/>
    <col min="4" max="4" width="72" style="1" customWidth="1"/>
    <col min="5" max="5" width="18.109375" style="1" customWidth="1"/>
    <col min="6" max="16384" width="9.109375" style="1"/>
  </cols>
  <sheetData>
    <row r="1" spans="1:5" ht="14.4" customHeight="1" x14ac:dyDescent="0.3">
      <c r="A1" s="12" t="s">
        <v>35</v>
      </c>
      <c r="B1" s="45">
        <v>257</v>
      </c>
      <c r="C1" s="14" t="s">
        <v>31</v>
      </c>
      <c r="D1" s="34" t="s">
        <v>61</v>
      </c>
      <c r="E1" s="165" t="s">
        <v>68</v>
      </c>
    </row>
    <row r="2" spans="1:5" ht="14.4" x14ac:dyDescent="0.3">
      <c r="A2" s="12" t="s">
        <v>36</v>
      </c>
      <c r="B2" s="56">
        <v>257</v>
      </c>
      <c r="C2" s="14" t="s">
        <v>31</v>
      </c>
      <c r="D2" s="34" t="s">
        <v>62</v>
      </c>
      <c r="E2" s="165"/>
    </row>
    <row r="3" spans="1:5" ht="14.4" x14ac:dyDescent="0.3">
      <c r="A3" s="12" t="s">
        <v>37</v>
      </c>
      <c r="B3" s="23">
        <f>B5*B1*1000000</f>
        <v>1028</v>
      </c>
      <c r="C3" s="14" t="s">
        <v>54</v>
      </c>
      <c r="D3" s="34" t="s">
        <v>55</v>
      </c>
      <c r="E3" s="165"/>
    </row>
    <row r="4" spans="1:5" ht="14.4" x14ac:dyDescent="0.3">
      <c r="A4" s="12" t="s">
        <v>38</v>
      </c>
      <c r="B4" s="23">
        <f>B6*B2*1000000</f>
        <v>1028</v>
      </c>
      <c r="C4" s="14" t="s">
        <v>54</v>
      </c>
      <c r="D4" s="34" t="s">
        <v>56</v>
      </c>
      <c r="E4" s="165"/>
    </row>
    <row r="5" spans="1:5" ht="14.4" x14ac:dyDescent="0.3">
      <c r="A5" s="12" t="s">
        <v>39</v>
      </c>
      <c r="B5" s="27">
        <v>3.9999999999999998E-6</v>
      </c>
      <c r="C5" s="14" t="s">
        <v>28</v>
      </c>
      <c r="D5" s="34" t="s">
        <v>57</v>
      </c>
      <c r="E5" s="165"/>
    </row>
    <row r="6" spans="1:5" ht="14.4" x14ac:dyDescent="0.3">
      <c r="A6" s="12" t="s">
        <v>40</v>
      </c>
      <c r="B6" s="27">
        <v>3.9999999999999998E-6</v>
      </c>
      <c r="C6" s="14" t="s">
        <v>28</v>
      </c>
      <c r="D6" s="34" t="s">
        <v>58</v>
      </c>
      <c r="E6" s="165"/>
    </row>
    <row r="7" spans="1:5" ht="14.4" x14ac:dyDescent="0.3">
      <c r="A7" s="12" t="s">
        <v>41</v>
      </c>
      <c r="B7" s="22">
        <f>2*Bacteria!B3</f>
        <v>1.9999999999999999E-6</v>
      </c>
      <c r="C7" s="14" t="s">
        <v>28</v>
      </c>
      <c r="D7" s="34" t="s">
        <v>59</v>
      </c>
      <c r="E7" s="165"/>
    </row>
    <row r="8" spans="1:5" ht="15" thickBot="1" x14ac:dyDescent="0.35">
      <c r="A8" s="13" t="s">
        <v>53</v>
      </c>
      <c r="B8" s="28">
        <f>5*10^(-6)</f>
        <v>4.9999999999999996E-6</v>
      </c>
      <c r="C8" s="16" t="s">
        <v>28</v>
      </c>
      <c r="D8" s="35" t="s">
        <v>60</v>
      </c>
      <c r="E8" s="166"/>
    </row>
    <row r="9" spans="1:5" ht="14.4" customHeight="1" x14ac:dyDescent="0.3">
      <c r="A9" s="11" t="s">
        <v>70</v>
      </c>
      <c r="B9" s="29">
        <f>600*24</f>
        <v>14400</v>
      </c>
      <c r="C9" s="15" t="s">
        <v>34</v>
      </c>
      <c r="D9" s="36" t="s">
        <v>63</v>
      </c>
      <c r="E9" s="167" t="s">
        <v>69</v>
      </c>
    </row>
    <row r="10" spans="1:5" ht="14.4" customHeight="1" x14ac:dyDescent="0.3">
      <c r="A10" s="12" t="s">
        <v>73</v>
      </c>
      <c r="B10" s="26">
        <v>0.5</v>
      </c>
      <c r="C10" s="14" t="s">
        <v>31</v>
      </c>
      <c r="D10" s="34" t="s">
        <v>79</v>
      </c>
      <c r="E10" s="168"/>
    </row>
    <row r="11" spans="1:5" ht="14.4" x14ac:dyDescent="0.3">
      <c r="A11" s="12" t="s">
        <v>76</v>
      </c>
      <c r="B11" s="22">
        <f>$B$5^2 * B10 / MAX(Diffusion!$B:$B)</f>
        <v>1.511715797430083E-6</v>
      </c>
      <c r="C11" s="14" t="s">
        <v>34</v>
      </c>
      <c r="D11" s="34" t="s">
        <v>81</v>
      </c>
      <c r="E11" s="168"/>
    </row>
    <row r="12" spans="1:5" ht="14.4" x14ac:dyDescent="0.3">
      <c r="A12" s="12" t="s">
        <v>84</v>
      </c>
      <c r="B12" s="26">
        <v>0.05</v>
      </c>
      <c r="C12" s="14" t="s">
        <v>34</v>
      </c>
      <c r="D12" s="34" t="s">
        <v>85</v>
      </c>
      <c r="E12" s="168"/>
    </row>
    <row r="13" spans="1:5" ht="14.4" x14ac:dyDescent="0.3">
      <c r="A13" s="12" t="s">
        <v>64</v>
      </c>
      <c r="B13" s="30">
        <f>24*4</f>
        <v>96</v>
      </c>
      <c r="C13" s="14" t="s">
        <v>34</v>
      </c>
      <c r="D13" s="34" t="s">
        <v>66</v>
      </c>
      <c r="E13" s="168"/>
    </row>
    <row r="14" spans="1:5" ht="15" thickBot="1" x14ac:dyDescent="0.35">
      <c r="A14" s="13" t="s">
        <v>65</v>
      </c>
      <c r="B14" s="24">
        <f>B13*7</f>
        <v>672</v>
      </c>
      <c r="C14" s="47" t="s">
        <v>34</v>
      </c>
      <c r="D14" s="35" t="s">
        <v>67</v>
      </c>
      <c r="E14" s="169"/>
    </row>
    <row r="15" spans="1:5" ht="14.4" x14ac:dyDescent="0.3">
      <c r="A15" s="31" t="s">
        <v>88</v>
      </c>
      <c r="B15" s="57" t="b">
        <v>1</v>
      </c>
      <c r="C15" s="48" t="s">
        <v>31</v>
      </c>
      <c r="D15" s="37" t="s">
        <v>89</v>
      </c>
      <c r="E15" s="167" t="s">
        <v>102</v>
      </c>
    </row>
    <row r="16" spans="1:5" ht="14.4" x14ac:dyDescent="0.3">
      <c r="A16" s="12" t="s">
        <v>71</v>
      </c>
      <c r="B16" s="26">
        <v>0.01</v>
      </c>
      <c r="C16" s="14" t="s">
        <v>31</v>
      </c>
      <c r="D16" s="38" t="s">
        <v>77</v>
      </c>
      <c r="E16" s="168"/>
    </row>
    <row r="17" spans="1:5" ht="14.4" x14ac:dyDescent="0.3">
      <c r="A17" s="12" t="s">
        <v>74</v>
      </c>
      <c r="B17" s="22">
        <f>$B$5^2 * B16 / MAX(Diffusion!$B:$B)</f>
        <v>3.0234315948601663E-8</v>
      </c>
      <c r="C17" s="14" t="s">
        <v>34</v>
      </c>
      <c r="D17" s="38" t="s">
        <v>78</v>
      </c>
      <c r="E17" s="168"/>
    </row>
    <row r="18" spans="1:5" ht="14.4" x14ac:dyDescent="0.3">
      <c r="A18" s="12" t="s">
        <v>72</v>
      </c>
      <c r="B18" s="26">
        <v>0.4</v>
      </c>
      <c r="C18" s="14" t="s">
        <v>31</v>
      </c>
      <c r="D18" s="38" t="s">
        <v>221</v>
      </c>
      <c r="E18" s="168"/>
    </row>
    <row r="19" spans="1:5" ht="14.4" x14ac:dyDescent="0.3">
      <c r="A19" s="12" t="s">
        <v>75</v>
      </c>
      <c r="B19" s="22">
        <f>$B$5^2 * B18 / MAX(Diffusion!$B:$B)</f>
        <v>1.2093726379440665E-6</v>
      </c>
      <c r="C19" s="14" t="s">
        <v>34</v>
      </c>
      <c r="D19" s="38" t="s">
        <v>80</v>
      </c>
      <c r="E19" s="168"/>
    </row>
    <row r="20" spans="1:5" ht="14.4" x14ac:dyDescent="0.3">
      <c r="A20" s="12" t="s">
        <v>82</v>
      </c>
      <c r="B20" s="26">
        <v>0.05</v>
      </c>
      <c r="C20" s="14" t="s">
        <v>34</v>
      </c>
      <c r="D20" s="38" t="s">
        <v>86</v>
      </c>
      <c r="E20" s="168"/>
    </row>
    <row r="21" spans="1:5" ht="14.4" x14ac:dyDescent="0.3">
      <c r="A21" s="32" t="s">
        <v>83</v>
      </c>
      <c r="B21" s="33">
        <v>1</v>
      </c>
      <c r="C21" s="49" t="s">
        <v>34</v>
      </c>
      <c r="D21" s="39" t="s">
        <v>87</v>
      </c>
      <c r="E21" s="168"/>
    </row>
    <row r="22" spans="1:5" ht="28.8" x14ac:dyDescent="0.3">
      <c r="A22" s="12" t="s">
        <v>90</v>
      </c>
      <c r="B22" s="26">
        <v>3</v>
      </c>
      <c r="C22" s="50" t="s">
        <v>31</v>
      </c>
      <c r="D22" s="40" t="s">
        <v>96</v>
      </c>
      <c r="E22" s="168"/>
    </row>
    <row r="23" spans="1:5" ht="28.8" x14ac:dyDescent="0.3">
      <c r="A23" s="12" t="s">
        <v>93</v>
      </c>
      <c r="B23" s="26">
        <v>500</v>
      </c>
      <c r="C23" s="50" t="s">
        <v>31</v>
      </c>
      <c r="D23" s="40" t="s">
        <v>97</v>
      </c>
      <c r="E23" s="168"/>
    </row>
    <row r="24" spans="1:5" ht="28.8" x14ac:dyDescent="0.3">
      <c r="A24" s="12" t="s">
        <v>91</v>
      </c>
      <c r="B24" s="26">
        <v>200</v>
      </c>
      <c r="C24" s="50" t="s">
        <v>31</v>
      </c>
      <c r="D24" s="40" t="s">
        <v>98</v>
      </c>
      <c r="E24" s="168"/>
    </row>
    <row r="25" spans="1:5" ht="28.8" x14ac:dyDescent="0.3">
      <c r="A25" s="12" t="s">
        <v>92</v>
      </c>
      <c r="B25" s="26">
        <v>20</v>
      </c>
      <c r="C25" s="50" t="s">
        <v>31</v>
      </c>
      <c r="D25" s="40" t="s">
        <v>99</v>
      </c>
      <c r="E25" s="168"/>
    </row>
    <row r="26" spans="1:5" ht="28.8" x14ac:dyDescent="0.3">
      <c r="A26" s="12" t="s">
        <v>100</v>
      </c>
      <c r="B26" s="161">
        <v>0.2</v>
      </c>
      <c r="C26" s="50" t="s">
        <v>218</v>
      </c>
      <c r="D26" s="40" t="s">
        <v>220</v>
      </c>
      <c r="E26" s="168"/>
    </row>
    <row r="27" spans="1:5" ht="28.8" x14ac:dyDescent="0.3">
      <c r="A27" s="12" t="s">
        <v>94</v>
      </c>
      <c r="B27" s="42">
        <v>9.9999999999999995E-8</v>
      </c>
      <c r="C27" s="50" t="s">
        <v>218</v>
      </c>
      <c r="D27" s="40" t="s">
        <v>217</v>
      </c>
      <c r="E27" s="168"/>
    </row>
    <row r="28" spans="1:5" ht="29.4" thickBot="1" x14ac:dyDescent="0.35">
      <c r="A28" s="13" t="s">
        <v>95</v>
      </c>
      <c r="B28" s="43">
        <v>0.02</v>
      </c>
      <c r="C28" s="47" t="s">
        <v>31</v>
      </c>
      <c r="D28" s="41" t="s">
        <v>101</v>
      </c>
      <c r="E28" s="169"/>
    </row>
  </sheetData>
  <mergeCells count="3">
    <mergeCell ref="E1:E8"/>
    <mergeCell ref="E9:E14"/>
    <mergeCell ref="E15:E28"/>
  </mergeCells>
  <conditionalFormatting sqref="A16:D28">
    <cfRule type="expression" dxfId="65" priority="1">
      <formula>$B$15 = FALSE</formula>
    </cfRule>
  </conditionalFormatting>
  <dataValidations count="1">
    <dataValidation type="list" allowBlank="1" showInputMessage="1" showErrorMessage="1" sqref="B15" xr:uid="{B02285CC-B93F-41B6-9F0B-F56D7F2E2904}">
      <formula1>"TRUE, FALSE"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tabSelected="1" workbookViewId="0">
      <selection activeCell="I7" sqref="I7"/>
    </sheetView>
  </sheetViews>
  <sheetFormatPr defaultColWidth="11.44140625" defaultRowHeight="13.2" x14ac:dyDescent="0.25"/>
  <cols>
    <col min="1" max="1" width="21.44140625" style="1" bestFit="1" customWidth="1"/>
    <col min="2" max="2" width="12.6640625" style="1" bestFit="1" customWidth="1"/>
    <col min="3" max="3" width="12.109375" style="1" customWidth="1"/>
    <col min="4" max="4" width="69.44140625" style="1" customWidth="1"/>
    <col min="5" max="16384" width="11.44140625" style="1"/>
  </cols>
  <sheetData>
    <row r="1" spans="1:5" ht="14.4" x14ac:dyDescent="0.3">
      <c r="A1" s="12" t="s">
        <v>33</v>
      </c>
      <c r="B1" s="45">
        <v>10</v>
      </c>
      <c r="C1" s="14" t="s">
        <v>34</v>
      </c>
      <c r="D1" s="34" t="s">
        <v>112</v>
      </c>
      <c r="E1" s="4"/>
    </row>
    <row r="2" spans="1:5" ht="28.8" x14ac:dyDescent="0.3">
      <c r="A2" s="12" t="s">
        <v>106</v>
      </c>
      <c r="B2" s="45" t="b">
        <v>1</v>
      </c>
      <c r="C2" s="14" t="s">
        <v>31</v>
      </c>
      <c r="D2" s="34" t="s">
        <v>108</v>
      </c>
      <c r="E2" s="4"/>
    </row>
    <row r="3" spans="1:5" ht="14.4" x14ac:dyDescent="0.3">
      <c r="A3" s="12" t="s">
        <v>109</v>
      </c>
      <c r="B3" s="44">
        <f>20/(17*1000)</f>
        <v>1.176470588235294E-3</v>
      </c>
      <c r="C3" s="14" t="s">
        <v>21</v>
      </c>
      <c r="D3" s="34" t="s">
        <v>107</v>
      </c>
      <c r="E3" s="4"/>
    </row>
    <row r="4" spans="1:5" ht="43.2" x14ac:dyDescent="0.3">
      <c r="A4" s="32" t="s">
        <v>110</v>
      </c>
      <c r="B4" s="141" t="s">
        <v>8</v>
      </c>
      <c r="C4" s="49" t="s">
        <v>31</v>
      </c>
      <c r="D4" s="46" t="s">
        <v>191</v>
      </c>
      <c r="E4" s="4"/>
    </row>
    <row r="5" spans="1:5" ht="14.4" x14ac:dyDescent="0.3">
      <c r="A5" s="12" t="s">
        <v>4</v>
      </c>
      <c r="B5" s="25">
        <v>20</v>
      </c>
      <c r="C5" s="14" t="s">
        <v>1</v>
      </c>
      <c r="D5" s="34" t="s">
        <v>111</v>
      </c>
      <c r="E5" s="4"/>
    </row>
    <row r="6" spans="1:5" ht="14.4" x14ac:dyDescent="0.3">
      <c r="A6" s="12" t="s">
        <v>172</v>
      </c>
      <c r="B6" s="75">
        <f>B5+273.15</f>
        <v>293.14999999999998</v>
      </c>
      <c r="C6" s="14" t="s">
        <v>5</v>
      </c>
      <c r="D6" s="34" t="s">
        <v>171</v>
      </c>
      <c r="E6" s="4"/>
    </row>
    <row r="7" spans="1:5" ht="14.4" x14ac:dyDescent="0.3">
      <c r="A7" s="12" t="s">
        <v>105</v>
      </c>
      <c r="B7" s="76">
        <v>7.7</v>
      </c>
      <c r="C7" s="14" t="s">
        <v>31</v>
      </c>
      <c r="D7" s="34" t="s">
        <v>113</v>
      </c>
      <c r="E7" s="4"/>
    </row>
    <row r="8" spans="1:5" ht="43.2" x14ac:dyDescent="0.3">
      <c r="A8" s="12" t="s">
        <v>104</v>
      </c>
      <c r="B8" s="51">
        <f>B11/B12 * 4/3 * PI() *B10^3</f>
        <v>1.3962634015954633E-10</v>
      </c>
      <c r="C8" s="14" t="s">
        <v>32</v>
      </c>
      <c r="D8" s="34" t="s">
        <v>204</v>
      </c>
      <c r="E8" s="4"/>
    </row>
    <row r="9" spans="1:5" ht="14.4" x14ac:dyDescent="0.3">
      <c r="A9" s="12" t="s">
        <v>103</v>
      </c>
      <c r="B9" s="21">
        <f>8.3144/1000</f>
        <v>8.3143999999999996E-3</v>
      </c>
      <c r="C9" s="14" t="s">
        <v>173</v>
      </c>
      <c r="D9" s="34" t="s">
        <v>103</v>
      </c>
      <c r="E9" s="4"/>
    </row>
    <row r="10" spans="1:5" ht="26.4" x14ac:dyDescent="0.25">
      <c r="A10" s="142" t="s">
        <v>205</v>
      </c>
      <c r="B10" s="80">
        <f>100*10^(-6)</f>
        <v>9.9999999999999991E-5</v>
      </c>
      <c r="C10" s="14" t="s">
        <v>28</v>
      </c>
      <c r="D10" s="65" t="s">
        <v>206</v>
      </c>
    </row>
    <row r="11" spans="1:5" ht="14.4" x14ac:dyDescent="0.3">
      <c r="A11" s="12" t="s">
        <v>207</v>
      </c>
      <c r="B11" s="155">
        <v>100</v>
      </c>
      <c r="C11" s="14" t="s">
        <v>208</v>
      </c>
      <c r="D11" s="40" t="s">
        <v>209</v>
      </c>
      <c r="E11" s="4"/>
    </row>
    <row r="12" spans="1:5" ht="14.4" x14ac:dyDescent="0.3">
      <c r="A12" s="12" t="s">
        <v>210</v>
      </c>
      <c r="B12" s="155">
        <v>3</v>
      </c>
      <c r="C12" s="14" t="s">
        <v>208</v>
      </c>
      <c r="D12" s="40" t="s">
        <v>211</v>
      </c>
      <c r="E12" s="4"/>
    </row>
    <row r="13" spans="1:5" x14ac:dyDescent="0.25">
      <c r="A13"/>
      <c r="B13"/>
      <c r="C13"/>
      <c r="D13"/>
    </row>
    <row r="14" spans="1:5" x14ac:dyDescent="0.25">
      <c r="A14"/>
      <c r="B14"/>
      <c r="C14"/>
      <c r="D14"/>
    </row>
    <row r="15" spans="1:5" x14ac:dyDescent="0.25">
      <c r="A15"/>
      <c r="B15"/>
      <c r="C15"/>
      <c r="D15"/>
    </row>
    <row r="16" spans="1:5" x14ac:dyDescent="0.25">
      <c r="A16"/>
      <c r="B16"/>
      <c r="C16"/>
      <c r="D16"/>
    </row>
    <row r="17" spans="1:5" x14ac:dyDescent="0.25">
      <c r="A17"/>
      <c r="B17" s="162"/>
      <c r="C17"/>
      <c r="D17"/>
    </row>
    <row r="18" spans="1:5" x14ac:dyDescent="0.25">
      <c r="A18"/>
      <c r="B18"/>
      <c r="C18"/>
      <c r="D18"/>
      <c r="E18" s="18"/>
    </row>
    <row r="19" spans="1:5" x14ac:dyDescent="0.25">
      <c r="B19"/>
      <c r="C19"/>
      <c r="D19"/>
    </row>
    <row r="20" spans="1:5" x14ac:dyDescent="0.25">
      <c r="B20"/>
      <c r="C20"/>
      <c r="D20"/>
    </row>
    <row r="21" spans="1:5" x14ac:dyDescent="0.25">
      <c r="B21"/>
      <c r="C21"/>
      <c r="D21"/>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A27" s="4"/>
      <c r="B27"/>
      <c r="C27"/>
      <c r="D27"/>
    </row>
    <row r="28" spans="1:5" x14ac:dyDescent="0.25">
      <c r="B28"/>
      <c r="C28"/>
      <c r="D28"/>
    </row>
    <row r="29" spans="1:5" x14ac:dyDescent="0.25">
      <c r="B29"/>
      <c r="C29"/>
      <c r="D29"/>
    </row>
  </sheetData>
  <conditionalFormatting sqref="A3:D4">
    <cfRule type="expression" dxfId="64" priority="3">
      <formula>$B$2 = FALSE</formula>
    </cfRule>
  </conditionalFormatting>
  <conditionalFormatting sqref="A1:D1">
    <cfRule type="expression" dxfId="63" priority="1">
      <formula>$B$2=TRUE</formula>
    </cfRule>
  </conditionalFormatting>
  <dataValidations disablePrompts="1"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workbookViewId="0">
      <selection activeCell="D15" sqref="D15"/>
    </sheetView>
  </sheetViews>
  <sheetFormatPr defaultColWidth="9.109375" defaultRowHeight="13.2" x14ac:dyDescent="0.25"/>
  <cols>
    <col min="1" max="1" width="9.109375" style="1"/>
    <col min="2" max="2" width="12" style="1" bestFit="1" customWidth="1"/>
    <col min="3" max="3" width="9.109375" style="1" customWidth="1"/>
    <col min="4" max="4" width="12.88671875" style="1" customWidth="1"/>
    <col min="5" max="5" width="23.33203125" style="1" customWidth="1"/>
    <col min="6" max="6" width="9.109375" style="1"/>
    <col min="7" max="7" width="11.44140625" style="1" bestFit="1" customWidth="1"/>
    <col min="8" max="16384" width="9.109375" style="1"/>
  </cols>
  <sheetData>
    <row r="1" spans="1:5" ht="14.4" x14ac:dyDescent="0.3">
      <c r="A1" s="12" t="s">
        <v>8</v>
      </c>
      <c r="B1" s="44">
        <f>1.957*10^(-9)*3600*0.7</f>
        <v>4.9316400000000006E-6</v>
      </c>
      <c r="C1" s="14" t="s">
        <v>42</v>
      </c>
      <c r="D1" s="34" t="s">
        <v>114</v>
      </c>
      <c r="E1" s="170" t="s">
        <v>115</v>
      </c>
    </row>
    <row r="2" spans="1:5" ht="14.4" x14ac:dyDescent="0.3">
      <c r="A2" s="12" t="s">
        <v>9</v>
      </c>
      <c r="B2" s="44">
        <f>1.912*10^(-9)*3600*0.7</f>
        <v>4.8182400000000001E-6</v>
      </c>
      <c r="C2" s="14" t="s">
        <v>42</v>
      </c>
      <c r="D2" s="34" t="s">
        <v>114</v>
      </c>
      <c r="E2" s="170"/>
    </row>
    <row r="3" spans="1:5" ht="14.4" x14ac:dyDescent="0.3">
      <c r="A3" s="12" t="s">
        <v>14</v>
      </c>
      <c r="B3" s="44">
        <f>1.902*10^(-9)*3600*0.7</f>
        <v>4.7930399999999991E-6</v>
      </c>
      <c r="C3" s="14" t="s">
        <v>42</v>
      </c>
      <c r="D3" s="34" t="s">
        <v>114</v>
      </c>
      <c r="E3" s="170"/>
    </row>
    <row r="4" spans="1:5" ht="14.4" x14ac:dyDescent="0.3">
      <c r="A4" s="12" t="s">
        <v>15</v>
      </c>
      <c r="B4" s="44">
        <f>2.1*10^(-9)*3600*0.7</f>
        <v>5.2920000000000003E-6</v>
      </c>
      <c r="C4" s="14" t="s">
        <v>42</v>
      </c>
      <c r="D4" s="34" t="s">
        <v>114</v>
      </c>
      <c r="E4" s="170"/>
    </row>
    <row r="5" spans="1:5" ht="14.4" x14ac:dyDescent="0.3">
      <c r="A5" s="12" t="s">
        <v>16</v>
      </c>
      <c r="B5" s="44">
        <f>1.92*10^(-9)*3600*0.7</f>
        <v>4.8384000000000001E-6</v>
      </c>
      <c r="C5" s="14" t="s">
        <v>42</v>
      </c>
      <c r="D5" s="34" t="s">
        <v>114</v>
      </c>
      <c r="E5" s="170"/>
    </row>
    <row r="6" spans="1:5" ht="14.4" x14ac:dyDescent="0.3">
      <c r="A6" s="12" t="s">
        <v>17</v>
      </c>
      <c r="B6" s="44">
        <f>1.385*10^(-9)*3600*0.7</f>
        <v>3.4902000000000001E-6</v>
      </c>
      <c r="C6" s="14" t="s">
        <v>42</v>
      </c>
      <c r="D6" s="34" t="s">
        <v>114</v>
      </c>
      <c r="E6" s="170"/>
    </row>
    <row r="7" spans="1:5" ht="15" thickBot="1" x14ac:dyDescent="0.35">
      <c r="A7" s="13" t="s">
        <v>18</v>
      </c>
      <c r="B7" s="52">
        <f>1.334*10^(-9)*3600*0.7</f>
        <v>3.3616800000000002E-6</v>
      </c>
      <c r="C7" s="16" t="s">
        <v>42</v>
      </c>
      <c r="D7" s="35" t="s">
        <v>114</v>
      </c>
      <c r="E7" s="171"/>
    </row>
  </sheetData>
  <mergeCells count="1">
    <mergeCell ref="E1:E7"/>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workbookViewId="0">
      <selection activeCell="B17" sqref="B17"/>
    </sheetView>
  </sheetViews>
  <sheetFormatPr defaultColWidth="9.109375" defaultRowHeight="13.2" x14ac:dyDescent="0.25"/>
  <cols>
    <col min="1" max="1" width="37.6640625" style="1" bestFit="1" customWidth="1"/>
    <col min="2" max="2" width="13.88671875" style="1" customWidth="1"/>
    <col min="3" max="3" width="9.109375" style="1"/>
    <col min="4" max="4" width="79.6640625" style="1" customWidth="1"/>
    <col min="5" max="5" width="12.44140625" style="1" bestFit="1" customWidth="1"/>
    <col min="6" max="16384" width="9.109375" style="1"/>
  </cols>
  <sheetData>
    <row r="1" spans="1:4" ht="14.4" x14ac:dyDescent="0.25">
      <c r="A1" s="12" t="s">
        <v>117</v>
      </c>
      <c r="B1" s="22">
        <f>((4/3)*PI()*B3^3)*B4</f>
        <v>2.0943951023931951E-12</v>
      </c>
      <c r="C1" s="14" t="s">
        <v>0</v>
      </c>
      <c r="D1" s="53" t="s">
        <v>125</v>
      </c>
    </row>
    <row r="2" spans="1:4" ht="14.4" x14ac:dyDescent="0.25">
      <c r="A2" s="12" t="s">
        <v>118</v>
      </c>
      <c r="B2" s="22">
        <f>0.1*B1</f>
        <v>2.0943951023931951E-13</v>
      </c>
      <c r="C2" s="14" t="s">
        <v>0</v>
      </c>
      <c r="D2" s="53" t="s">
        <v>126</v>
      </c>
    </row>
    <row r="3" spans="1:4" ht="14.4" x14ac:dyDescent="0.25">
      <c r="A3" s="12" t="s">
        <v>119</v>
      </c>
      <c r="B3" s="54">
        <f>(1)*10^(-6)</f>
        <v>9.9999999999999995E-7</v>
      </c>
      <c r="C3" s="14" t="s">
        <v>28</v>
      </c>
      <c r="D3" s="53" t="s">
        <v>127</v>
      </c>
    </row>
    <row r="4" spans="1:4" ht="14.4" x14ac:dyDescent="0.25">
      <c r="A4" s="12" t="s">
        <v>120</v>
      </c>
      <c r="B4" s="54">
        <f>500*1000</f>
        <v>500000</v>
      </c>
      <c r="C4" s="14" t="s">
        <v>29</v>
      </c>
      <c r="D4" s="53" t="s">
        <v>128</v>
      </c>
    </row>
    <row r="5" spans="1:4" ht="14.4" x14ac:dyDescent="0.25">
      <c r="A5" s="12" t="s">
        <v>121</v>
      </c>
      <c r="B5" s="60">
        <v>24.6</v>
      </c>
      <c r="C5" s="14" t="s">
        <v>30</v>
      </c>
      <c r="D5" s="53" t="s">
        <v>129</v>
      </c>
    </row>
    <row r="6" spans="1:4" ht="14.4" x14ac:dyDescent="0.25">
      <c r="A6" s="61" t="s">
        <v>149</v>
      </c>
      <c r="B6" s="156" t="s">
        <v>150</v>
      </c>
      <c r="C6" s="63" t="s">
        <v>31</v>
      </c>
      <c r="D6" s="64" t="s">
        <v>212</v>
      </c>
    </row>
    <row r="7" spans="1:4" ht="14.4" x14ac:dyDescent="0.25">
      <c r="A7" s="12" t="s">
        <v>123</v>
      </c>
      <c r="B7" s="54">
        <f>100*10^(-6)</f>
        <v>9.9999999999999991E-5</v>
      </c>
      <c r="C7" s="14" t="s">
        <v>28</v>
      </c>
      <c r="D7" s="53" t="s">
        <v>131</v>
      </c>
    </row>
    <row r="8" spans="1:4" ht="28.8" x14ac:dyDescent="0.25">
      <c r="A8" s="12" t="s">
        <v>201</v>
      </c>
      <c r="B8" s="55">
        <f>_xlfn.CEILING.MATH((B7^2 / (0.8*B3 * B12)^2) * 0.75)</f>
        <v>5209</v>
      </c>
      <c r="C8" s="14" t="s">
        <v>31</v>
      </c>
      <c r="D8" s="53" t="s">
        <v>202</v>
      </c>
    </row>
    <row r="9" spans="1:4" ht="26.4" x14ac:dyDescent="0.25">
      <c r="A9" s="142" t="s">
        <v>213</v>
      </c>
      <c r="B9" s="55">
        <v>12</v>
      </c>
      <c r="C9" s="157" t="s">
        <v>31</v>
      </c>
      <c r="D9" s="154" t="s">
        <v>214</v>
      </c>
    </row>
    <row r="10" spans="1:4" ht="26.4" x14ac:dyDescent="0.25">
      <c r="A10" s="158" t="s">
        <v>215</v>
      </c>
      <c r="B10" s="159">
        <v>12</v>
      </c>
      <c r="C10" s="49" t="s">
        <v>31</v>
      </c>
      <c r="D10" s="59" t="s">
        <v>216</v>
      </c>
    </row>
    <row r="11" spans="1:4" ht="14.4" x14ac:dyDescent="0.25">
      <c r="A11" s="12" t="s">
        <v>124</v>
      </c>
      <c r="B11" s="54">
        <f>ROUND(((B16)^2)/((B3)^2),0)</f>
        <v>10000</v>
      </c>
      <c r="C11" s="14" t="s">
        <v>31</v>
      </c>
      <c r="D11" s="53" t="s">
        <v>132</v>
      </c>
    </row>
    <row r="12" spans="1:4" ht="28.8" x14ac:dyDescent="0.25">
      <c r="A12" s="12" t="s">
        <v>51</v>
      </c>
      <c r="B12" s="55">
        <v>1.5</v>
      </c>
      <c r="C12" s="14" t="s">
        <v>31</v>
      </c>
      <c r="D12" s="53" t="s">
        <v>133</v>
      </c>
    </row>
    <row r="13" spans="1:4" ht="28.8" x14ac:dyDescent="0.25">
      <c r="A13" s="12" t="s">
        <v>134</v>
      </c>
      <c r="B13" s="60" t="b">
        <v>1</v>
      </c>
      <c r="C13" s="14" t="s">
        <v>31</v>
      </c>
      <c r="D13" s="53" t="s">
        <v>135</v>
      </c>
    </row>
    <row r="14" spans="1:4" ht="14.4" x14ac:dyDescent="0.25">
      <c r="A14" s="61" t="s">
        <v>136</v>
      </c>
      <c r="B14" s="62" t="s">
        <v>222</v>
      </c>
      <c r="C14" s="63" t="s">
        <v>31</v>
      </c>
      <c r="D14" s="64" t="s">
        <v>139</v>
      </c>
    </row>
    <row r="15" spans="1:4" ht="14.4" x14ac:dyDescent="0.25">
      <c r="A15" s="12" t="s">
        <v>137</v>
      </c>
      <c r="B15" s="55">
        <v>10</v>
      </c>
      <c r="C15" s="14" t="s">
        <v>138</v>
      </c>
      <c r="D15" s="53" t="s">
        <v>140</v>
      </c>
    </row>
    <row r="16" spans="1:4" ht="28.8" x14ac:dyDescent="0.25">
      <c r="A16" s="32" t="s">
        <v>122</v>
      </c>
      <c r="B16" s="58">
        <f>Parameters!B10</f>
        <v>9.9999999999999991E-5</v>
      </c>
      <c r="C16" s="49" t="s">
        <v>28</v>
      </c>
      <c r="D16" s="59" t="s">
        <v>130</v>
      </c>
    </row>
    <row r="18" spans="3:5" x14ac:dyDescent="0.25">
      <c r="C18" s="18"/>
      <c r="D18" s="4"/>
      <c r="E18" s="4"/>
    </row>
    <row r="19" spans="3:5" x14ac:dyDescent="0.25">
      <c r="C19" s="4"/>
      <c r="D19" s="18"/>
      <c r="E19" s="4"/>
    </row>
    <row r="20" spans="3:5" x14ac:dyDescent="0.25">
      <c r="C20" s="4"/>
      <c r="D20" s="4"/>
      <c r="E20" s="18"/>
    </row>
  </sheetData>
  <conditionalFormatting sqref="A15:D15">
    <cfRule type="expression" dxfId="62" priority="4">
      <formula>$B$14&lt;&gt;"mechanistic"</formula>
    </cfRule>
  </conditionalFormatting>
  <conditionalFormatting sqref="A16:D16">
    <cfRule type="expression" dxfId="61" priority="3">
      <formula>$B$14&lt;&gt;"naive"</formula>
    </cfRule>
  </conditionalFormatting>
  <conditionalFormatting sqref="A9:D10">
    <cfRule type="expression" dxfId="60" priority="1">
      <formula>OR($B$6 = "granule", $B$6 = "mature granule")</formula>
    </cfRule>
  </conditionalFormatting>
  <conditionalFormatting sqref="A7:D8">
    <cfRule type="expression" dxfId="59" priority="2">
      <formula>$B$6 ="suspension"</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zoomScaleNormal="100" workbookViewId="0">
      <selection activeCell="D14" sqref="D14"/>
    </sheetView>
  </sheetViews>
  <sheetFormatPr defaultColWidth="11.44140625" defaultRowHeight="13.2" x14ac:dyDescent="0.25"/>
  <cols>
    <col min="1" max="1" width="31.33203125" bestFit="1" customWidth="1"/>
    <col min="4" max="4" width="73.6640625" customWidth="1"/>
  </cols>
  <sheetData>
    <row r="1" spans="1:4" ht="14.4" x14ac:dyDescent="0.25">
      <c r="A1" s="12" t="s">
        <v>147</v>
      </c>
      <c r="B1" s="54">
        <v>1E-8</v>
      </c>
      <c r="C1" s="14" t="s">
        <v>21</v>
      </c>
      <c r="D1" s="53" t="s">
        <v>148</v>
      </c>
    </row>
    <row r="2" spans="1:4" ht="14.4" x14ac:dyDescent="0.25">
      <c r="A2" s="12" t="s">
        <v>151</v>
      </c>
      <c r="B2" s="55" t="b">
        <v>1</v>
      </c>
      <c r="C2" s="14" t="s">
        <v>31</v>
      </c>
      <c r="D2" s="53" t="s">
        <v>153</v>
      </c>
    </row>
    <row r="3" spans="1:4" ht="14.4" x14ac:dyDescent="0.25">
      <c r="A3" s="12" t="s">
        <v>116</v>
      </c>
      <c r="B3" s="54">
        <v>1.0000000000000001E-15</v>
      </c>
      <c r="C3" s="14" t="s">
        <v>31</v>
      </c>
      <c r="D3" s="53" t="s">
        <v>152</v>
      </c>
    </row>
    <row r="4" spans="1:4" ht="14.4" x14ac:dyDescent="0.25">
      <c r="A4" s="12" t="s">
        <v>183</v>
      </c>
      <c r="B4" s="55" t="b">
        <v>1</v>
      </c>
      <c r="C4" s="14" t="s">
        <v>31</v>
      </c>
      <c r="D4" s="53" t="s">
        <v>184</v>
      </c>
    </row>
    <row r="5" spans="1:4" ht="28.8" x14ac:dyDescent="0.25">
      <c r="A5" s="12" t="s">
        <v>154</v>
      </c>
      <c r="B5" s="55" t="b">
        <v>1</v>
      </c>
      <c r="C5" s="14" t="s">
        <v>31</v>
      </c>
      <c r="D5" s="53" t="s">
        <v>189</v>
      </c>
    </row>
    <row r="6" spans="1:4" ht="28.8" x14ac:dyDescent="0.25">
      <c r="A6" s="12" t="s">
        <v>155</v>
      </c>
      <c r="B6" s="54">
        <v>1E-8</v>
      </c>
      <c r="C6" s="14" t="s">
        <v>31</v>
      </c>
      <c r="D6" s="53" t="s">
        <v>156</v>
      </c>
    </row>
    <row r="7" spans="1:4" ht="28.8" x14ac:dyDescent="0.25">
      <c r="A7" s="12" t="s">
        <v>141</v>
      </c>
      <c r="B7" s="160">
        <v>0.05</v>
      </c>
      <c r="C7" s="14" t="s">
        <v>218</v>
      </c>
      <c r="D7" s="53" t="s">
        <v>219</v>
      </c>
    </row>
    <row r="8" spans="1:4" ht="14.4" x14ac:dyDescent="0.25">
      <c r="A8" s="12" t="s">
        <v>142</v>
      </c>
      <c r="B8" s="55" t="s">
        <v>143</v>
      </c>
      <c r="C8" s="14" t="s">
        <v>31</v>
      </c>
      <c r="D8" s="53" t="s">
        <v>146</v>
      </c>
    </row>
    <row r="9" spans="1:4" ht="14.4" x14ac:dyDescent="0.25">
      <c r="A9" s="12" t="s">
        <v>144</v>
      </c>
      <c r="B9" s="55">
        <v>2</v>
      </c>
      <c r="C9" s="14" t="s">
        <v>31</v>
      </c>
      <c r="D9" s="53" t="s">
        <v>145</v>
      </c>
    </row>
    <row r="10" spans="1:4" ht="28.8" x14ac:dyDescent="0.25">
      <c r="A10" s="32" t="s">
        <v>157</v>
      </c>
      <c r="B10" s="151" t="b">
        <v>0</v>
      </c>
      <c r="C10" s="152" t="s">
        <v>31</v>
      </c>
      <c r="D10" s="153" t="s">
        <v>158</v>
      </c>
    </row>
    <row r="11" spans="1:4" ht="14.4" x14ac:dyDescent="0.25">
      <c r="A11" s="12" t="s">
        <v>186</v>
      </c>
      <c r="B11" s="55" t="b">
        <v>0</v>
      </c>
      <c r="C11" s="50" t="s">
        <v>31</v>
      </c>
      <c r="D11" s="65" t="s">
        <v>187</v>
      </c>
    </row>
    <row r="12" spans="1:4" ht="28.8" x14ac:dyDescent="0.25">
      <c r="A12" s="12" t="s">
        <v>185</v>
      </c>
      <c r="B12" s="55" t="s">
        <v>46</v>
      </c>
      <c r="C12" s="50" t="s">
        <v>31</v>
      </c>
      <c r="D12" s="65" t="s">
        <v>188</v>
      </c>
    </row>
  </sheetData>
  <conditionalFormatting sqref="A3:D4">
    <cfRule type="expression" dxfId="58" priority="2">
      <formula>$B$2=FALSE</formula>
    </cfRule>
  </conditionalFormatting>
  <conditionalFormatting sqref="A12:D12">
    <cfRule type="expression" dxfId="57"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
  <sheetViews>
    <sheetView workbookViewId="0">
      <selection activeCell="B4" sqref="B4"/>
    </sheetView>
  </sheetViews>
  <sheetFormatPr defaultColWidth="9.109375" defaultRowHeight="13.2" x14ac:dyDescent="0.25"/>
  <cols>
    <col min="1" max="3" width="9.109375" style="1"/>
    <col min="4" max="4" width="4.44140625" style="1" customWidth="1"/>
    <col min="5" max="5" width="62.5546875" style="1" customWidth="1"/>
    <col min="6" max="16384" width="9.109375" style="1"/>
  </cols>
  <sheetData>
    <row r="1" spans="1:10" x14ac:dyDescent="0.25">
      <c r="A1" s="12" t="s">
        <v>8</v>
      </c>
      <c r="B1" s="54">
        <f>40/(17*1000)</f>
        <v>2.352941176470588E-3</v>
      </c>
      <c r="C1" s="14" t="s">
        <v>21</v>
      </c>
      <c r="D1" s="66" t="s">
        <v>3</v>
      </c>
      <c r="E1" s="172" t="s">
        <v>160</v>
      </c>
      <c r="F1" s="4"/>
      <c r="G1" s="4"/>
      <c r="H1" s="4"/>
      <c r="I1" s="4"/>
      <c r="J1" s="4"/>
    </row>
    <row r="2" spans="1:10" x14ac:dyDescent="0.25">
      <c r="A2" s="12" t="s">
        <v>9</v>
      </c>
      <c r="B2" s="54">
        <v>0</v>
      </c>
      <c r="C2" s="14" t="s">
        <v>21</v>
      </c>
      <c r="D2" s="66" t="s">
        <v>3</v>
      </c>
      <c r="E2" s="172"/>
      <c r="F2" s="4"/>
      <c r="G2" s="4"/>
      <c r="H2" s="4"/>
      <c r="I2" s="4"/>
      <c r="J2" s="4"/>
    </row>
    <row r="3" spans="1:10" x14ac:dyDescent="0.25">
      <c r="A3" s="12" t="s">
        <v>14</v>
      </c>
      <c r="B3" s="54">
        <v>0</v>
      </c>
      <c r="C3" s="14" t="s">
        <v>21</v>
      </c>
      <c r="D3" s="66" t="s">
        <v>3</v>
      </c>
      <c r="E3" s="172"/>
      <c r="F3" s="4"/>
      <c r="G3" s="4"/>
      <c r="H3" s="4"/>
      <c r="I3" s="4"/>
      <c r="J3" s="4"/>
    </row>
    <row r="4" spans="1:10" x14ac:dyDescent="0.25">
      <c r="A4" s="12" t="s">
        <v>15</v>
      </c>
      <c r="B4" s="54">
        <f>6/(32*1000)</f>
        <v>1.875E-4</v>
      </c>
      <c r="C4" s="14" t="s">
        <v>21</v>
      </c>
      <c r="D4" s="66" t="s">
        <v>24</v>
      </c>
      <c r="E4" s="172"/>
      <c r="F4" s="4"/>
      <c r="G4" s="4"/>
      <c r="H4" s="4"/>
      <c r="I4" s="4"/>
      <c r="J4" s="4"/>
    </row>
    <row r="5" spans="1:10" x14ac:dyDescent="0.25">
      <c r="A5" s="12" t="s">
        <v>16</v>
      </c>
      <c r="B5" s="54">
        <v>1E-3</v>
      </c>
      <c r="C5" s="14" t="s">
        <v>21</v>
      </c>
      <c r="D5" s="66" t="s">
        <v>24</v>
      </c>
      <c r="E5" s="172"/>
      <c r="F5" s="18"/>
      <c r="G5" s="4"/>
      <c r="H5" s="4"/>
      <c r="I5" s="4"/>
      <c r="J5" s="4"/>
    </row>
    <row r="6" spans="1:10" x14ac:dyDescent="0.25">
      <c r="A6" s="12" t="s">
        <v>17</v>
      </c>
      <c r="B6" s="54">
        <f>B1/2</f>
        <v>1.176470588235294E-3</v>
      </c>
      <c r="C6" s="14" t="s">
        <v>21</v>
      </c>
      <c r="D6" s="66" t="s">
        <v>24</v>
      </c>
      <c r="E6" s="172"/>
      <c r="F6" s="18"/>
      <c r="G6" s="4"/>
      <c r="H6" s="4"/>
      <c r="I6" s="4"/>
      <c r="J6" s="4"/>
    </row>
    <row r="7" spans="1:10" x14ac:dyDescent="0.25">
      <c r="A7" s="12" t="s">
        <v>18</v>
      </c>
      <c r="B7" s="54">
        <f>B5</f>
        <v>1E-3</v>
      </c>
      <c r="C7" s="14" t="s">
        <v>21</v>
      </c>
      <c r="D7" s="66" t="s">
        <v>24</v>
      </c>
      <c r="E7" s="172"/>
      <c r="F7" s="4"/>
      <c r="G7" s="4"/>
      <c r="H7" s="4"/>
      <c r="I7" s="4"/>
      <c r="J7" s="4"/>
    </row>
    <row r="13" spans="1:10" x14ac:dyDescent="0.25">
      <c r="A13" s="4"/>
      <c r="B13" s="4"/>
      <c r="C13" s="4"/>
      <c r="D13" s="4"/>
      <c r="E13" s="4"/>
      <c r="F13" s="4"/>
      <c r="G13" s="4"/>
      <c r="H13" s="4"/>
      <c r="I13" s="4"/>
      <c r="J13" s="5"/>
    </row>
    <row r="16" spans="1:10" x14ac:dyDescent="0.25">
      <c r="A16" s="4"/>
      <c r="B16" s="4"/>
      <c r="C16" s="4"/>
      <c r="D16" s="4"/>
      <c r="E16" s="4"/>
      <c r="F16" s="4"/>
      <c r="G16" s="4"/>
      <c r="H16" s="5"/>
      <c r="I16" s="4"/>
      <c r="J16" s="4"/>
    </row>
  </sheetData>
  <mergeCells count="1">
    <mergeCell ref="E1:E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
  <sheetViews>
    <sheetView workbookViewId="0">
      <selection activeCell="B1" sqref="B1"/>
    </sheetView>
  </sheetViews>
  <sheetFormatPr defaultColWidth="11.44140625" defaultRowHeight="13.2" x14ac:dyDescent="0.25"/>
  <cols>
    <col min="1" max="2" width="11.44140625" style="1"/>
    <col min="3" max="3" width="7.5546875" style="1" customWidth="1"/>
    <col min="4" max="4" width="75.44140625" style="1" customWidth="1"/>
    <col min="5" max="6" width="11.44140625" style="1"/>
    <col min="7" max="7" width="12" style="1" bestFit="1" customWidth="1"/>
    <col min="8" max="16384" width="11.44140625" style="1"/>
  </cols>
  <sheetData>
    <row r="1" spans="1:10" ht="15" customHeight="1" x14ac:dyDescent="0.25">
      <c r="A1" s="12" t="s">
        <v>8</v>
      </c>
      <c r="B1" s="54">
        <f>Influent!B1/2</f>
        <v>1.176470588235294E-3</v>
      </c>
      <c r="C1" s="14" t="s">
        <v>21</v>
      </c>
      <c r="D1" s="173" t="s">
        <v>159</v>
      </c>
      <c r="E1" s="4"/>
      <c r="F1" s="4"/>
      <c r="G1" s="4"/>
    </row>
    <row r="2" spans="1:10" ht="15" customHeight="1" x14ac:dyDescent="0.25">
      <c r="A2" s="12" t="s">
        <v>9</v>
      </c>
      <c r="B2" s="54">
        <f>B1</f>
        <v>1.176470588235294E-3</v>
      </c>
      <c r="C2" s="14" t="s">
        <v>21</v>
      </c>
      <c r="D2" s="173"/>
      <c r="E2" s="4"/>
      <c r="F2" s="4"/>
      <c r="G2" s="4"/>
    </row>
    <row r="3" spans="1:10" ht="15" customHeight="1" x14ac:dyDescent="0.25">
      <c r="A3" s="12" t="s">
        <v>14</v>
      </c>
      <c r="B3" s="54">
        <v>9.9999999999999995E-7</v>
      </c>
      <c r="C3" s="14" t="s">
        <v>21</v>
      </c>
      <c r="D3" s="173"/>
      <c r="E3" s="4"/>
      <c r="F3" s="4"/>
      <c r="G3" s="4"/>
    </row>
    <row r="4" spans="1:10" ht="15" customHeight="1" x14ac:dyDescent="0.25">
      <c r="A4" s="12" t="s">
        <v>15</v>
      </c>
      <c r="B4" s="54">
        <f>Influent!B4/100</f>
        <v>1.875E-6</v>
      </c>
      <c r="C4" s="14" t="s">
        <v>21</v>
      </c>
      <c r="D4" s="173"/>
      <c r="E4" s="4"/>
      <c r="F4" s="4"/>
      <c r="G4" s="4"/>
    </row>
    <row r="5" spans="1:10" ht="15" customHeight="1" x14ac:dyDescent="0.25">
      <c r="A5" s="12" t="s">
        <v>16</v>
      </c>
      <c r="B5" s="54">
        <f>Influent!B5</f>
        <v>1E-3</v>
      </c>
      <c r="C5" s="14" t="s">
        <v>21</v>
      </c>
      <c r="D5" s="173"/>
      <c r="E5" s="4"/>
      <c r="F5" s="4"/>
      <c r="G5" s="4"/>
    </row>
    <row r="6" spans="1:10" ht="15" customHeight="1" x14ac:dyDescent="0.25">
      <c r="A6" s="32" t="s">
        <v>17</v>
      </c>
      <c r="B6" s="58">
        <f>B1/2</f>
        <v>5.8823529411764701E-4</v>
      </c>
      <c r="C6" s="49" t="s">
        <v>21</v>
      </c>
      <c r="D6" s="173"/>
      <c r="E6" s="4"/>
      <c r="F6" s="4"/>
      <c r="G6" s="4"/>
    </row>
    <row r="7" spans="1:10" ht="15" customHeight="1" x14ac:dyDescent="0.25">
      <c r="A7" s="72" t="s">
        <v>18</v>
      </c>
      <c r="B7" s="73">
        <f>B5</f>
        <v>1E-3</v>
      </c>
      <c r="C7" s="74" t="s">
        <v>21</v>
      </c>
      <c r="D7" s="173"/>
      <c r="E7" s="4"/>
      <c r="F7" s="67"/>
      <c r="G7" s="67"/>
      <c r="H7" s="68"/>
      <c r="I7" s="68"/>
      <c r="J7" s="68"/>
    </row>
    <row r="8" spans="1:10" x14ac:dyDescent="0.25">
      <c r="E8" s="4"/>
      <c r="F8" s="69"/>
      <c r="G8" s="70"/>
      <c r="H8" s="71"/>
      <c r="I8" s="69"/>
      <c r="J8" s="68"/>
    </row>
    <row r="10" spans="1:10" x14ac:dyDescent="0.25">
      <c r="A10" s="4"/>
      <c r="B10" s="4"/>
      <c r="C10" s="4"/>
      <c r="D10" s="4"/>
      <c r="E10" s="4"/>
      <c r="F10" s="4"/>
      <c r="G10" s="18"/>
    </row>
  </sheetData>
  <mergeCells count="1">
    <mergeCell ref="D1:D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3"/>
  <sheetViews>
    <sheetView workbookViewId="0">
      <selection activeCell="F28" sqref="F28"/>
    </sheetView>
  </sheetViews>
  <sheetFormatPr defaultColWidth="11.44140625" defaultRowHeight="13.8" x14ac:dyDescent="0.25"/>
  <cols>
    <col min="1" max="2" width="11.44140625" customWidth="1"/>
    <col min="3" max="6" width="14.33203125" style="10" customWidth="1"/>
    <col min="7" max="7" width="14.109375" style="6" customWidth="1"/>
    <col min="8" max="8" width="3.5546875" style="7" customWidth="1"/>
    <col min="9" max="9" width="27.88671875" customWidth="1"/>
  </cols>
  <sheetData>
    <row r="1" spans="1:9" ht="27" thickBot="1" x14ac:dyDescent="0.3">
      <c r="A1" s="83" t="s">
        <v>25</v>
      </c>
      <c r="B1" s="84" t="s">
        <v>165</v>
      </c>
      <c r="C1" s="84" t="s">
        <v>161</v>
      </c>
      <c r="D1" s="85" t="s">
        <v>162</v>
      </c>
      <c r="E1" s="84" t="s">
        <v>163</v>
      </c>
      <c r="F1" s="85" t="s">
        <v>164</v>
      </c>
      <c r="G1" s="85" t="s">
        <v>179</v>
      </c>
    </row>
    <row r="2" spans="1:9" ht="13.2" x14ac:dyDescent="0.25">
      <c r="A2" s="11" t="s">
        <v>8</v>
      </c>
      <c r="B2" s="93" t="s">
        <v>26</v>
      </c>
      <c r="C2" s="93">
        <v>-79.37</v>
      </c>
      <c r="D2" s="93">
        <v>-26.57</v>
      </c>
      <c r="E2" s="93" t="s">
        <v>26</v>
      </c>
      <c r="F2" s="93" t="s">
        <v>26</v>
      </c>
      <c r="G2" s="90">
        <v>3</v>
      </c>
      <c r="H2" s="86" t="s">
        <v>22</v>
      </c>
      <c r="I2" s="173" t="s">
        <v>180</v>
      </c>
    </row>
    <row r="3" spans="1:9" ht="13.2" x14ac:dyDescent="0.25">
      <c r="A3" s="12" t="s">
        <v>9</v>
      </c>
      <c r="B3" s="93" t="s">
        <v>26</v>
      </c>
      <c r="C3" s="93">
        <v>-50.6</v>
      </c>
      <c r="D3" s="93">
        <v>-32.200000000000003</v>
      </c>
      <c r="E3" s="93" t="s">
        <v>26</v>
      </c>
      <c r="F3" s="93" t="s">
        <v>26</v>
      </c>
      <c r="G3" s="91">
        <v>2</v>
      </c>
      <c r="H3" s="87" t="s">
        <v>22</v>
      </c>
      <c r="I3" s="173"/>
    </row>
    <row r="4" spans="1:9" ht="13.2" x14ac:dyDescent="0.25">
      <c r="A4" s="12" t="s">
        <v>14</v>
      </c>
      <c r="B4" s="93" t="s">
        <v>26</v>
      </c>
      <c r="C4" s="93">
        <v>-103.7</v>
      </c>
      <c r="D4" s="93">
        <v>-111.3</v>
      </c>
      <c r="E4" s="93" t="s">
        <v>26</v>
      </c>
      <c r="F4" s="93" t="s">
        <v>26</v>
      </c>
      <c r="G4" s="91">
        <v>2</v>
      </c>
      <c r="H4" s="87" t="s">
        <v>22</v>
      </c>
      <c r="I4" s="173"/>
    </row>
    <row r="5" spans="1:9" ht="13.2" x14ac:dyDescent="0.25">
      <c r="A5" s="12" t="s">
        <v>15</v>
      </c>
      <c r="B5" s="93" t="s">
        <v>26</v>
      </c>
      <c r="C5" s="93">
        <v>16.399999999999999</v>
      </c>
      <c r="D5" s="93" t="s">
        <v>26</v>
      </c>
      <c r="E5" s="93" t="s">
        <v>26</v>
      </c>
      <c r="F5" s="93" t="s">
        <v>26</v>
      </c>
      <c r="G5" s="91">
        <v>2</v>
      </c>
      <c r="H5" s="87" t="s">
        <v>22</v>
      </c>
      <c r="I5" s="173"/>
    </row>
    <row r="6" spans="1:9" ht="13.2" x14ac:dyDescent="0.25">
      <c r="A6" s="12" t="s">
        <v>16</v>
      </c>
      <c r="B6" s="93">
        <f>-386</f>
        <v>-386</v>
      </c>
      <c r="C6" s="93">
        <v>-623.16</v>
      </c>
      <c r="D6" s="93">
        <v>-586.85</v>
      </c>
      <c r="E6" s="93">
        <v>-527.79999999999995</v>
      </c>
      <c r="F6" s="93" t="s">
        <v>26</v>
      </c>
      <c r="G6" s="91">
        <v>3</v>
      </c>
      <c r="H6" s="87" t="s">
        <v>22</v>
      </c>
      <c r="I6" s="173"/>
    </row>
    <row r="7" spans="1:9" ht="13.2" x14ac:dyDescent="0.25">
      <c r="A7" s="12" t="s">
        <v>17</v>
      </c>
      <c r="B7" s="97" t="s">
        <v>26</v>
      </c>
      <c r="C7" s="97">
        <v>-755.9</v>
      </c>
      <c r="D7" s="97">
        <f>-180.69*4.184</f>
        <v>-756.00696000000005</v>
      </c>
      <c r="E7" s="97">
        <f>-177.97*4.184</f>
        <v>-744.62648000000002</v>
      </c>
      <c r="F7" s="97" t="s">
        <v>26</v>
      </c>
      <c r="G7" s="92">
        <v>4</v>
      </c>
      <c r="H7" s="9" t="s">
        <v>22</v>
      </c>
      <c r="I7" s="173"/>
    </row>
    <row r="8" spans="1:9" s="6" customFormat="1" ht="13.2" x14ac:dyDescent="0.25">
      <c r="A8" s="72" t="s">
        <v>18</v>
      </c>
      <c r="B8" s="99" t="s">
        <v>26</v>
      </c>
      <c r="C8" s="99">
        <v>0</v>
      </c>
      <c r="D8" s="99" t="s">
        <v>26</v>
      </c>
      <c r="E8" s="99" t="s">
        <v>26</v>
      </c>
      <c r="F8" s="100" t="s">
        <v>26</v>
      </c>
      <c r="G8" s="119">
        <v>2</v>
      </c>
      <c r="H8" s="8" t="s">
        <v>22</v>
      </c>
      <c r="I8" s="173"/>
    </row>
    <row r="9" spans="1:9" s="6" customFormat="1" ht="13.2" x14ac:dyDescent="0.25">
      <c r="A9" s="32" t="s">
        <v>19</v>
      </c>
      <c r="B9" s="101" t="s">
        <v>26</v>
      </c>
      <c r="C9" s="99">
        <v>0</v>
      </c>
      <c r="D9" s="99" t="s">
        <v>26</v>
      </c>
      <c r="E9" s="99" t="s">
        <v>26</v>
      </c>
      <c r="F9" s="100" t="s">
        <v>26</v>
      </c>
      <c r="G9" s="119">
        <v>2</v>
      </c>
      <c r="H9" s="17" t="s">
        <v>23</v>
      </c>
      <c r="I9" s="173"/>
    </row>
    <row r="10" spans="1:9" s="6" customFormat="1" ht="13.2" x14ac:dyDescent="0.25">
      <c r="A10" s="81" t="s">
        <v>20</v>
      </c>
      <c r="B10" s="98" t="s">
        <v>26</v>
      </c>
      <c r="C10" s="98">
        <v>-237.18</v>
      </c>
      <c r="D10" s="98">
        <v>-157.30000000000001</v>
      </c>
      <c r="E10" s="98" t="s">
        <v>26</v>
      </c>
      <c r="F10" s="98" t="s">
        <v>26</v>
      </c>
      <c r="G10" s="118">
        <v>2</v>
      </c>
      <c r="H10" s="8" t="s">
        <v>22</v>
      </c>
      <c r="I10" s="173"/>
    </row>
    <row r="11" spans="1:9" s="6" customFormat="1" thickBot="1" x14ac:dyDescent="0.3">
      <c r="A11" s="82" t="s">
        <v>2</v>
      </c>
      <c r="B11" s="93" t="s">
        <v>26</v>
      </c>
      <c r="C11" s="93">
        <v>0</v>
      </c>
      <c r="D11" s="93" t="s">
        <v>26</v>
      </c>
      <c r="E11" s="93" t="s">
        <v>26</v>
      </c>
      <c r="F11" s="93" t="s">
        <v>26</v>
      </c>
      <c r="G11" s="92">
        <v>2</v>
      </c>
      <c r="H11" s="9" t="s">
        <v>22</v>
      </c>
      <c r="I11" s="173"/>
    </row>
    <row r="12" spans="1:9" s="6" customFormat="1" ht="28.2" customHeight="1" thickBot="1" x14ac:dyDescent="0.3">
      <c r="A12" s="83" t="s">
        <v>25</v>
      </c>
      <c r="B12" s="88" t="s">
        <v>167</v>
      </c>
      <c r="C12" s="88" t="s">
        <v>168</v>
      </c>
      <c r="D12" s="89" t="s">
        <v>169</v>
      </c>
      <c r="E12" s="88" t="s">
        <v>170</v>
      </c>
      <c r="H12" s="7"/>
    </row>
    <row r="13" spans="1:9" s="6" customFormat="1" ht="13.2" x14ac:dyDescent="0.25">
      <c r="A13" s="11" t="s">
        <v>8</v>
      </c>
      <c r="B13" s="94">
        <f>IF(COUNT(B2,C2)=2, EXP(($C$10+B2-C2)/-(Parameters!$B$9*Parameters!$B$6)), 0)</f>
        <v>0</v>
      </c>
      <c r="C13" s="78">
        <f>IF(COUNT(C2,D2)=2, EXP((D2-C2)/-(Parameters!$B$9*Parameters!$B$6)), 0)</f>
        <v>3.9083870641861443E-10</v>
      </c>
      <c r="D13" s="94">
        <f>IF(COUNT(D2,E2)=2, EXP((E2-D2)/-(Parameters!$B$9*Parameters!$B$6)), 0)</f>
        <v>0</v>
      </c>
      <c r="E13" s="94">
        <f>IF(COUNT(E2,F2)=2, EXP((F2-E2)/-(Parameters!$B$9*Parameters!$B$6)), 0)</f>
        <v>0</v>
      </c>
      <c r="H13" s="7"/>
      <c r="I13" s="172" t="s">
        <v>181</v>
      </c>
    </row>
    <row r="14" spans="1:9" s="6" customFormat="1" ht="13.2" x14ac:dyDescent="0.25">
      <c r="A14" s="12" t="s">
        <v>9</v>
      </c>
      <c r="B14" s="94">
        <f>IF(COUNT(B3,C3)=2, EXP(($C$10+B3-C3)/-(Parameters!$B$9*Parameters!$B$6)), 0)</f>
        <v>0</v>
      </c>
      <c r="C14" s="78">
        <f>IF(COUNT(C3,D3)=2, EXP((D3-C3)/-(Parameters!$B$9*Parameters!$B$6)), 0)</f>
        <v>5.2656707191475868E-4</v>
      </c>
      <c r="D14" s="94">
        <f>IF(COUNT(D3,E3)=2, EXP((E3-D3)/-(Parameters!$B$9*Parameters!$B$6)), 0)</f>
        <v>0</v>
      </c>
      <c r="E14" s="94">
        <f>IF(COUNT(E3,F3)=2, EXP((F3-E3)/-(Parameters!$B$9*Parameters!$B$6)), 0)</f>
        <v>0</v>
      </c>
      <c r="H14" s="7"/>
      <c r="I14" s="172"/>
    </row>
    <row r="15" spans="1:9" s="6" customFormat="1" ht="13.2" x14ac:dyDescent="0.25">
      <c r="A15" s="12" t="s">
        <v>14</v>
      </c>
      <c r="B15" s="94">
        <f>IF(COUNT(B4,C4)=2, EXP(($C$10+B4-C4)/-(Parameters!$B$9*Parameters!$B$6)), 0)</f>
        <v>0</v>
      </c>
      <c r="C15" s="78">
        <f>IF(COUNT(C4,D4)=2, EXP((D4-C4)/-(Parameters!$B$9*Parameters!$B$6)), 0)</f>
        <v>22.603837077490315</v>
      </c>
      <c r="D15" s="94">
        <f>IF(COUNT(D4,E4)=2, EXP((E4-D4)/-(Parameters!$B$9*Parameters!$B$6)), 0)</f>
        <v>0</v>
      </c>
      <c r="E15" s="94">
        <f>IF(COUNT(E4,F4)=2, EXP((F4-E4)/-(Parameters!$B$9*Parameters!$B$6)), 0)</f>
        <v>0</v>
      </c>
      <c r="H15" s="7"/>
      <c r="I15" s="172"/>
    </row>
    <row r="16" spans="1:9" ht="13.2" x14ac:dyDescent="0.25">
      <c r="A16" s="12" t="s">
        <v>15</v>
      </c>
      <c r="B16" s="94">
        <f>IF(COUNT(B5,C5)=2, EXP(($C$10+B5-C5)/-(Parameters!$B$9*Parameters!$B$6)), 0)</f>
        <v>0</v>
      </c>
      <c r="C16" s="94">
        <f>IF(COUNT(C5,D5)=2, EXP((D5-C5)/-(Parameters!$B$9*Parameters!$B$6)), 0)</f>
        <v>0</v>
      </c>
      <c r="D16" s="94">
        <f>IF(COUNT(D5,E5)=2, EXP((E5-D5)/-(Parameters!$B$9*Parameters!$B$6)), 0)</f>
        <v>0</v>
      </c>
      <c r="E16" s="94">
        <f>IF(COUNT(E5,F5)=2, EXP((F5-E5)/-(Parameters!$B$9*Parameters!$B$6)), 0)</f>
        <v>0</v>
      </c>
      <c r="F16" s="6"/>
      <c r="I16" s="172"/>
    </row>
    <row r="17" spans="1:9" ht="13.2" x14ac:dyDescent="0.25">
      <c r="A17" s="12" t="s">
        <v>16</v>
      </c>
      <c r="B17" s="95">
        <f>1/0.0017</f>
        <v>588.23529411764707</v>
      </c>
      <c r="C17" s="78">
        <f>IF(COUNT(C6,D6)=2, EXP((D6-C6)/-(Parameters!$B$9*Parameters!$B$6)), 0)</f>
        <v>3.3901312221699524E-7</v>
      </c>
      <c r="D17" s="78">
        <f>IF(COUNT(D6,E6)=2, EXP((E6-D6)/-(Parameters!$B$9*Parameters!$B$6)), 0)</f>
        <v>3.008575507210982E-11</v>
      </c>
      <c r="E17" s="94">
        <f>IF(COUNT(E6,F6)=2, EXP((F6-E6)/-(Parameters!$B$9*Parameters!$B$6)), 0)</f>
        <v>0</v>
      </c>
      <c r="F17" s="6"/>
      <c r="I17" s="172"/>
    </row>
    <row r="18" spans="1:9" ht="13.2" x14ac:dyDescent="0.25">
      <c r="A18" s="32" t="s">
        <v>17</v>
      </c>
      <c r="B18" s="103">
        <f>IF(COUNT(B7,C7)=2, EXP(($C$10+B7-C7)/-(Parameters!$B$9*Parameters!$B$6)), 0)</f>
        <v>0</v>
      </c>
      <c r="C18" s="116">
        <v>100</v>
      </c>
      <c r="D18" s="117">
        <f>10^(-1.92)</f>
        <v>1.2022644346174125E-2</v>
      </c>
      <c r="E18" s="104">
        <f>IF(COUNT(E7,F7)=2, EXP((F7-E7)/-(Parameters!$B$9*Parameters!$B$6)), 0)</f>
        <v>0</v>
      </c>
      <c r="F18" s="6"/>
      <c r="H18" s="6"/>
      <c r="I18" s="172"/>
    </row>
    <row r="19" spans="1:9" ht="13.2" x14ac:dyDescent="0.25">
      <c r="A19" s="72" t="s">
        <v>18</v>
      </c>
      <c r="B19" s="114">
        <f>IF(COUNT(B8,C8)=2, EXP(($C$10+B8-C8)/-(Parameters!$B$9*Parameters!$B$6)), 0)</f>
        <v>0</v>
      </c>
      <c r="C19" s="115">
        <f>IF(COUNT(C8,D8)=2, EXP((D8-C8)/-(Parameters!$B$9*Parameters!$B$6)), 0)</f>
        <v>0</v>
      </c>
      <c r="D19" s="115">
        <f>IF(COUNT(D8,E8)=2, EXP((E8-D8)/-(Parameters!$B$9*Parameters!$B$6)), 0)</f>
        <v>0</v>
      </c>
      <c r="E19" s="115">
        <f>IF(COUNT(E8,F8)=2, EXP((F8-E8)/-(Parameters!$B$9*Parameters!$B$6)), 0)</f>
        <v>0</v>
      </c>
      <c r="F19" s="6"/>
      <c r="H19" s="6"/>
      <c r="I19" s="172"/>
    </row>
    <row r="20" spans="1:9" ht="13.2" x14ac:dyDescent="0.25">
      <c r="A20" s="72" t="s">
        <v>19</v>
      </c>
      <c r="B20" s="105">
        <f>IF(COUNT(B9,C9)=2, EXP(($C$10+B9-C9)/-(Parameters!$B$9*Parameters!$B$6)), 0)</f>
        <v>0</v>
      </c>
      <c r="C20" s="106">
        <f>IF(COUNT(C9,D9)=2, EXP((D9-C9)/-(Parameters!$B$9*Parameters!$B$6)), 0)</f>
        <v>0</v>
      </c>
      <c r="D20" s="106">
        <f>IF(COUNT(D9,E9)=2, EXP((E9-D9)/-(Parameters!$B$9*Parameters!$B$6)), 0)</f>
        <v>0</v>
      </c>
      <c r="E20" s="106">
        <f>IF(COUNT(E9,F9)=2, EXP((F9-E9)/-(Parameters!$B$9*Parameters!$B$6)), 0)</f>
        <v>0</v>
      </c>
      <c r="F20" s="6"/>
      <c r="H20" s="6"/>
      <c r="I20" s="172"/>
    </row>
    <row r="21" spans="1:9" ht="13.2" x14ac:dyDescent="0.25">
      <c r="A21" s="81" t="s">
        <v>20</v>
      </c>
      <c r="B21" s="102">
        <f>IF(COUNT(B10,C10)=2, EXP(($C$10+B10-C10)/-(Parameters!$B$9*Parameters!$B$6)), 0)</f>
        <v>0</v>
      </c>
      <c r="C21" s="42">
        <f>IF(COUNT(C10,D10)=2, EXP((D10-C10)/-(Parameters!$B$9*Parameters!$B$6)), 0)</f>
        <v>5.845648305092005E-15</v>
      </c>
      <c r="D21" s="102">
        <f>IF(COUNT(D10,E10)=2, EXP((E10-D10)/-(Parameters!$B$9*Parameters!$B$6)), 0)</f>
        <v>0</v>
      </c>
      <c r="E21" s="102">
        <f>IF(COUNT(E10,F10)=2, EXP((F10-E10)/-(Parameters!$B$9*Parameters!$B$6)), 0)</f>
        <v>0</v>
      </c>
      <c r="F21" s="6"/>
      <c r="H21" s="6"/>
      <c r="I21" s="172"/>
    </row>
    <row r="22" spans="1:9" thickBot="1" x14ac:dyDescent="0.3">
      <c r="A22" s="82" t="s">
        <v>2</v>
      </c>
      <c r="B22" s="94">
        <f>IF(COUNT(B11,C11)=2, EXP(($C$10+B11-C11)/-(Parameters!$B$9*Parameters!$B$6)), 0)</f>
        <v>0</v>
      </c>
      <c r="C22" s="94">
        <f>IF(COUNT(C11,D11)=2, EXP((D11-C11)/-(Parameters!$B$9*Parameters!$B$6)), 0)</f>
        <v>0</v>
      </c>
      <c r="D22" s="94">
        <f>IF(COUNT(D11,E11)=2, EXP((E11-D11)/-(Parameters!$B$9*Parameters!$B$6)), 0)</f>
        <v>0</v>
      </c>
      <c r="E22" s="94">
        <f>IF(COUNT(E11,F11)=2, EXP((F11-E11)/-(Parameters!$B$9*Parameters!$B$6)), 0)</f>
        <v>0</v>
      </c>
      <c r="F22" s="6"/>
      <c r="I22" s="172"/>
    </row>
    <row r="23" spans="1:9" ht="28.2" customHeight="1" thickBot="1" x14ac:dyDescent="0.3">
      <c r="A23" s="174" t="s">
        <v>166</v>
      </c>
      <c r="B23" s="175"/>
      <c r="C23" s="175"/>
      <c r="D23" s="175"/>
      <c r="E23" s="175"/>
      <c r="F23" s="176"/>
    </row>
    <row r="24" spans="1:9" ht="13.2" x14ac:dyDescent="0.25">
      <c r="A24" s="11" t="s">
        <v>8</v>
      </c>
      <c r="B24" s="96" t="s">
        <v>27</v>
      </c>
      <c r="C24" s="96">
        <v>1</v>
      </c>
      <c r="D24" s="96">
        <v>0</v>
      </c>
      <c r="E24" s="96" t="s">
        <v>27</v>
      </c>
      <c r="F24" s="96" t="s">
        <v>27</v>
      </c>
      <c r="I24" s="172" t="s">
        <v>182</v>
      </c>
    </row>
    <row r="25" spans="1:9" ht="13.2" x14ac:dyDescent="0.25">
      <c r="A25" s="12" t="s">
        <v>9</v>
      </c>
      <c r="B25" s="96" t="s">
        <v>27</v>
      </c>
      <c r="C25" s="96">
        <v>0</v>
      </c>
      <c r="D25" s="96">
        <v>-1</v>
      </c>
      <c r="E25" s="96" t="s">
        <v>27</v>
      </c>
      <c r="F25" s="96" t="s">
        <v>27</v>
      </c>
      <c r="I25" s="172"/>
    </row>
    <row r="26" spans="1:9" ht="13.2" x14ac:dyDescent="0.25">
      <c r="A26" s="12" t="s">
        <v>14</v>
      </c>
      <c r="B26" s="96" t="s">
        <v>27</v>
      </c>
      <c r="C26" s="96">
        <v>0</v>
      </c>
      <c r="D26" s="96">
        <v>-1</v>
      </c>
      <c r="E26" s="96" t="s">
        <v>27</v>
      </c>
      <c r="F26" s="96" t="s">
        <v>27</v>
      </c>
      <c r="I26" s="172"/>
    </row>
    <row r="27" spans="1:9" ht="13.2" x14ac:dyDescent="0.25">
      <c r="A27" s="12" t="s">
        <v>15</v>
      </c>
      <c r="B27" s="96" t="s">
        <v>27</v>
      </c>
      <c r="C27" s="96">
        <v>0</v>
      </c>
      <c r="D27" s="96" t="s">
        <v>27</v>
      </c>
      <c r="E27" s="96" t="s">
        <v>27</v>
      </c>
      <c r="F27" s="96" t="s">
        <v>27</v>
      </c>
      <c r="I27" s="172"/>
    </row>
    <row r="28" spans="1:9" ht="13.2" x14ac:dyDescent="0.25">
      <c r="A28" s="12" t="s">
        <v>16</v>
      </c>
      <c r="B28" s="96">
        <v>0</v>
      </c>
      <c r="C28" s="96">
        <v>0</v>
      </c>
      <c r="D28" s="96">
        <v>-1</v>
      </c>
      <c r="E28" s="96">
        <v>-2</v>
      </c>
      <c r="F28" s="96" t="s">
        <v>27</v>
      </c>
      <c r="I28" s="172"/>
    </row>
    <row r="29" spans="1:9" ht="13.2" x14ac:dyDescent="0.25">
      <c r="A29" s="32" t="s">
        <v>17</v>
      </c>
      <c r="B29" s="108" t="s">
        <v>27</v>
      </c>
      <c r="C29" s="109">
        <v>0</v>
      </c>
      <c r="D29" s="109">
        <v>-1</v>
      </c>
      <c r="E29" s="109">
        <v>-2</v>
      </c>
      <c r="F29" s="109" t="s">
        <v>27</v>
      </c>
      <c r="I29" s="172"/>
    </row>
    <row r="30" spans="1:9" ht="13.2" x14ac:dyDescent="0.25">
      <c r="A30" s="72" t="s">
        <v>18</v>
      </c>
      <c r="B30" s="112" t="s">
        <v>27</v>
      </c>
      <c r="C30" s="113">
        <v>1</v>
      </c>
      <c r="D30" s="113" t="s">
        <v>27</v>
      </c>
      <c r="E30" s="113" t="s">
        <v>27</v>
      </c>
      <c r="F30" s="113" t="s">
        <v>27</v>
      </c>
      <c r="I30" s="172"/>
    </row>
    <row r="31" spans="1:9" ht="13.2" x14ac:dyDescent="0.25">
      <c r="A31" s="72" t="s">
        <v>19</v>
      </c>
      <c r="B31" s="110" t="s">
        <v>27</v>
      </c>
      <c r="C31" s="111">
        <v>0</v>
      </c>
      <c r="D31" s="111" t="s">
        <v>27</v>
      </c>
      <c r="E31" s="111" t="s">
        <v>27</v>
      </c>
      <c r="F31" s="111" t="s">
        <v>27</v>
      </c>
      <c r="I31" s="172"/>
    </row>
    <row r="32" spans="1:9" ht="13.2" x14ac:dyDescent="0.25">
      <c r="A32" s="81" t="s">
        <v>20</v>
      </c>
      <c r="B32" s="107" t="s">
        <v>27</v>
      </c>
      <c r="C32" s="107">
        <v>0</v>
      </c>
      <c r="D32" s="107">
        <v>-1</v>
      </c>
      <c r="E32" s="107" t="s">
        <v>27</v>
      </c>
      <c r="F32" s="107" t="s">
        <v>27</v>
      </c>
      <c r="I32" s="172"/>
    </row>
    <row r="33" spans="1:9" thickBot="1" x14ac:dyDescent="0.3">
      <c r="A33" s="82" t="s">
        <v>2</v>
      </c>
      <c r="B33" s="96" t="s">
        <v>27</v>
      </c>
      <c r="C33" s="96">
        <v>1</v>
      </c>
      <c r="D33" s="96" t="s">
        <v>27</v>
      </c>
      <c r="E33" s="96" t="s">
        <v>27</v>
      </c>
      <c r="F33" s="96" t="s">
        <v>27</v>
      </c>
      <c r="I33" s="172"/>
    </row>
  </sheetData>
  <mergeCells count="4">
    <mergeCell ref="A23:F23"/>
    <mergeCell ref="I2:I11"/>
    <mergeCell ref="I13:I22"/>
    <mergeCell ref="I24:I33"/>
  </mergeCells>
  <conditionalFormatting sqref="B2:F11 B24:F33 B13:E17 B19:E22 B18 D18:E18">
    <cfRule type="containsText" dxfId="56" priority="54" operator="containsText" text="NA">
      <formula>NOT(ISERROR(SEARCH("NA",B2)))</formula>
    </cfRule>
    <cfRule type="containsText" dxfId="55" priority="55" operator="containsText" text="Inf">
      <formula>NOT(ISERROR(SEARCH("Inf",B2)))</formula>
    </cfRule>
  </conditionalFormatting>
  <conditionalFormatting sqref="B13:E17 B19:E22 B18 D18:E18">
    <cfRule type="cellIs" dxfId="54" priority="1" operator="equal">
      <formula>0</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E8"/>
  <sheetViews>
    <sheetView workbookViewId="0">
      <selection activeCell="E16" sqref="E16"/>
    </sheetView>
  </sheetViews>
  <sheetFormatPr defaultRowHeight="13.2" x14ac:dyDescent="0.25"/>
  <cols>
    <col min="1" max="1" width="11.33203125" bestFit="1" customWidth="1"/>
    <col min="2" max="4" width="11.6640625" customWidth="1"/>
    <col min="5" max="5" width="56" customWidth="1"/>
  </cols>
  <sheetData>
    <row r="1" spans="1:5" ht="13.95" customHeight="1" thickBot="1" x14ac:dyDescent="0.3">
      <c r="A1" s="3"/>
      <c r="B1" s="77" t="s">
        <v>8</v>
      </c>
      <c r="C1" s="77" t="s">
        <v>9</v>
      </c>
      <c r="D1" s="77" t="s">
        <v>15</v>
      </c>
      <c r="E1" s="164" t="s">
        <v>178</v>
      </c>
    </row>
    <row r="2" spans="1:5" ht="13.2" customHeight="1" x14ac:dyDescent="0.25">
      <c r="A2" s="11" t="s">
        <v>7</v>
      </c>
      <c r="B2" s="163">
        <f>1.4529*10^(-6)</f>
        <v>1.4529000000000001E-6</v>
      </c>
      <c r="C2" s="163">
        <v>0</v>
      </c>
      <c r="D2" s="163">
        <f>3.606*10^(-6)</f>
        <v>3.6059999999999999E-6</v>
      </c>
      <c r="E2" s="164"/>
    </row>
    <row r="3" spans="1:5" ht="13.2" customHeight="1" x14ac:dyDescent="0.25">
      <c r="A3" s="12" t="s">
        <v>223</v>
      </c>
      <c r="B3" s="163">
        <v>0</v>
      </c>
      <c r="C3" s="163">
        <f>4.447*10^(-9)</f>
        <v>4.447E-9</v>
      </c>
      <c r="D3" s="163">
        <f>7.813*10^(-6)</f>
        <v>7.8129999999999996E-6</v>
      </c>
      <c r="E3" s="164"/>
    </row>
    <row r="4" spans="1:5" ht="13.2" customHeight="1" x14ac:dyDescent="0.25">
      <c r="A4" s="12" t="s">
        <v>224</v>
      </c>
      <c r="B4" s="163">
        <v>0</v>
      </c>
      <c r="C4" s="163">
        <f>8.894*10^(-11)</f>
        <v>8.8939999999999992E-11</v>
      </c>
      <c r="D4" s="163">
        <f>2.594*10^(-6)</f>
        <v>2.5939999999999996E-6</v>
      </c>
      <c r="E4" s="164"/>
    </row>
    <row r="5" spans="1:5" ht="13.2" customHeight="1" x14ac:dyDescent="0.25">
      <c r="A5" s="12" t="s">
        <v>225</v>
      </c>
      <c r="B5" s="163">
        <v>0</v>
      </c>
      <c r="C5" s="163">
        <f>1.119*10^(-9)</f>
        <v>1.119E-9</v>
      </c>
      <c r="D5" s="163">
        <f>2.594*10^(-6)</f>
        <v>2.5939999999999996E-6</v>
      </c>
      <c r="E5" s="164"/>
    </row>
    <row r="6" spans="1:5" ht="13.95" customHeight="1" thickBot="1" x14ac:dyDescent="0.3">
      <c r="A6" s="13" t="s">
        <v>10</v>
      </c>
      <c r="B6" s="163">
        <f>4.118*10^(-7)</f>
        <v>4.1180000000000002E-7</v>
      </c>
      <c r="C6" s="163">
        <f>1.632*10^(-11)</f>
        <v>1.6319999999999998E-11</v>
      </c>
      <c r="D6" s="163">
        <v>0</v>
      </c>
      <c r="E6" s="164"/>
    </row>
    <row r="7" spans="1:5" ht="13.2" customHeight="1" x14ac:dyDescent="0.25">
      <c r="E7" s="140"/>
    </row>
    <row r="8" spans="1:5" ht="13.2" customHeight="1" x14ac:dyDescent="0.25">
      <c r="E8" s="140"/>
    </row>
  </sheetData>
  <mergeCells count="1">
    <mergeCell ref="E1:E6"/>
  </mergeCells>
  <phoneticPr fontId="18" type="noConversion"/>
  <conditionalFormatting sqref="B2:D8">
    <cfRule type="cellIs" dxfId="53" priority="1" operator="equal">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E6"/>
  <sheetViews>
    <sheetView workbookViewId="0">
      <selection activeCell="E15" sqref="E15"/>
    </sheetView>
  </sheetViews>
  <sheetFormatPr defaultRowHeight="13.2" x14ac:dyDescent="0.25"/>
  <cols>
    <col min="1" max="1" width="11.33203125" bestFit="1" customWidth="1"/>
    <col min="2" max="3" width="11.6640625" customWidth="1"/>
    <col min="4" max="4" width="12" customWidth="1"/>
    <col min="5" max="5" width="47.88671875" customWidth="1"/>
  </cols>
  <sheetData>
    <row r="1" spans="1:5" ht="15" customHeight="1" thickBot="1" x14ac:dyDescent="0.3">
      <c r="A1" s="3"/>
      <c r="B1" s="77" t="s">
        <v>8</v>
      </c>
      <c r="C1" s="77" t="s">
        <v>9</v>
      </c>
      <c r="D1" s="77" t="s">
        <v>15</v>
      </c>
      <c r="E1" s="164" t="s">
        <v>177</v>
      </c>
    </row>
    <row r="2" spans="1:5" ht="13.2" customHeight="1" x14ac:dyDescent="0.25">
      <c r="A2" s="11" t="s">
        <v>7</v>
      </c>
      <c r="B2" s="163">
        <v>0</v>
      </c>
      <c r="C2" s="163">
        <f>1.17*10^(-5)</f>
        <v>1.17E-5</v>
      </c>
      <c r="D2" s="163">
        <v>0</v>
      </c>
      <c r="E2" s="164"/>
    </row>
    <row r="3" spans="1:5" ht="13.2" customHeight="1" x14ac:dyDescent="0.25">
      <c r="A3" s="12" t="s">
        <v>223</v>
      </c>
      <c r="B3" s="163">
        <f>1.521*10^(-3)</f>
        <v>1.521E-3</v>
      </c>
      <c r="C3" s="163">
        <v>0</v>
      </c>
      <c r="D3" s="163">
        <v>0</v>
      </c>
      <c r="E3" s="164"/>
    </row>
    <row r="4" spans="1:5" ht="13.2" customHeight="1" x14ac:dyDescent="0.25">
      <c r="A4" s="12" t="s">
        <v>224</v>
      </c>
      <c r="B4" s="163">
        <f>1.3*10^(-4)</f>
        <v>1.3000000000000002E-4</v>
      </c>
      <c r="C4" s="163">
        <v>0</v>
      </c>
      <c r="D4" s="163">
        <v>0</v>
      </c>
      <c r="E4" s="164"/>
    </row>
    <row r="5" spans="1:5" ht="13.2" customHeight="1" x14ac:dyDescent="0.25">
      <c r="A5" s="12" t="s">
        <v>225</v>
      </c>
      <c r="B5" s="163">
        <f>8.643*10^(-4)</f>
        <v>8.6430000000000014E-4</v>
      </c>
      <c r="C5" s="163">
        <v>0</v>
      </c>
      <c r="D5" s="163">
        <v>0</v>
      </c>
      <c r="E5" s="164"/>
    </row>
    <row r="6" spans="1:5" ht="13.2" customHeight="1" thickBot="1" x14ac:dyDescent="0.3">
      <c r="A6" s="13" t="s">
        <v>10</v>
      </c>
      <c r="B6" s="163">
        <v>0</v>
      </c>
      <c r="C6" s="163">
        <v>0</v>
      </c>
      <c r="D6" s="163">
        <f>3.125*10^(-7)</f>
        <v>3.1249999999999997E-7</v>
      </c>
      <c r="E6" s="164"/>
    </row>
  </sheetData>
  <mergeCells count="1">
    <mergeCell ref="E1:E6"/>
  </mergeCells>
  <conditionalFormatting sqref="B2:D6">
    <cfRule type="cellIs" dxfId="52" priority="1" operator="equal">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6"/>
  <sheetViews>
    <sheetView zoomScaleNormal="100" workbookViewId="0">
      <selection activeCell="F14" sqref="F14"/>
    </sheetView>
  </sheetViews>
  <sheetFormatPr defaultRowHeight="13.2" x14ac:dyDescent="0.25"/>
  <cols>
    <col min="1" max="1" width="11.33203125" bestFit="1" customWidth="1"/>
    <col min="2" max="2" width="11.6640625" customWidth="1"/>
    <col min="3" max="3" width="8.6640625" customWidth="1"/>
    <col min="4" max="4" width="14.6640625" customWidth="1"/>
    <col min="5" max="5" width="17.44140625" customWidth="1"/>
    <col min="6" max="6" width="105" customWidth="1"/>
  </cols>
  <sheetData>
    <row r="1" spans="1:6" ht="13.8" thickBot="1" x14ac:dyDescent="0.3">
      <c r="B1" s="77" t="s">
        <v>176</v>
      </c>
      <c r="C1" s="77" t="s">
        <v>6</v>
      </c>
      <c r="D1" s="77" t="s">
        <v>174</v>
      </c>
      <c r="E1" s="77" t="s">
        <v>175</v>
      </c>
      <c r="F1" s="173" t="s">
        <v>203</v>
      </c>
    </row>
    <row r="2" spans="1:6" ht="13.2" customHeight="1" x14ac:dyDescent="0.25">
      <c r="A2" s="11" t="s">
        <v>7</v>
      </c>
      <c r="B2" s="78">
        <f>0.0415</f>
        <v>4.1500000000000002E-2</v>
      </c>
      <c r="C2" s="79" t="s">
        <v>8</v>
      </c>
      <c r="D2" s="80"/>
      <c r="E2" s="80"/>
      <c r="F2" s="173"/>
    </row>
    <row r="3" spans="1:6" ht="13.2" customHeight="1" x14ac:dyDescent="0.25">
      <c r="A3" s="12" t="s">
        <v>223</v>
      </c>
      <c r="B3" s="78">
        <v>2.07E-2</v>
      </c>
      <c r="C3" s="79" t="s">
        <v>9</v>
      </c>
      <c r="D3" s="80"/>
      <c r="E3" s="80"/>
      <c r="F3" s="173"/>
    </row>
    <row r="4" spans="1:6" ht="13.2" customHeight="1" x14ac:dyDescent="0.25">
      <c r="A4" s="12" t="s">
        <v>224</v>
      </c>
      <c r="B4" s="78">
        <v>2.07E-2</v>
      </c>
      <c r="C4" s="79" t="s">
        <v>9</v>
      </c>
      <c r="D4" s="80"/>
      <c r="E4" s="80"/>
      <c r="F4" s="173"/>
    </row>
    <row r="5" spans="1:6" ht="13.2" customHeight="1" x14ac:dyDescent="0.25">
      <c r="A5" s="12" t="s">
        <v>225</v>
      </c>
      <c r="B5" s="78">
        <v>2.07E-2</v>
      </c>
      <c r="C5" s="79" t="s">
        <v>9</v>
      </c>
      <c r="D5" s="80"/>
      <c r="E5" s="80"/>
      <c r="F5" s="173"/>
    </row>
    <row r="6" spans="1:6" ht="13.2" customHeight="1" thickBot="1" x14ac:dyDescent="0.3">
      <c r="A6" s="13" t="s">
        <v>10</v>
      </c>
      <c r="B6" s="78">
        <f>0.066</f>
        <v>6.6000000000000003E-2</v>
      </c>
      <c r="C6" s="79" t="s">
        <v>8</v>
      </c>
      <c r="D6" s="80"/>
      <c r="E6" s="80"/>
      <c r="F6" s="173"/>
    </row>
  </sheetData>
  <mergeCells count="1">
    <mergeCell ref="F1:F6"/>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2"/>
  <sheetViews>
    <sheetView zoomScaleNormal="100" workbookViewId="0">
      <pane xSplit="1" ySplit="2" topLeftCell="B3" activePane="bottomRight" state="frozen"/>
      <selection pane="topRight" activeCell="B1" sqref="B1"/>
      <selection pane="bottomLeft" activeCell="A3" sqref="A3"/>
      <selection pane="bottomRight" activeCell="K16" sqref="K16"/>
    </sheetView>
  </sheetViews>
  <sheetFormatPr defaultColWidth="11.44140625" defaultRowHeight="13.2" x14ac:dyDescent="0.25"/>
  <cols>
    <col min="1" max="1" width="8.44140625" style="1" customWidth="1"/>
    <col min="2" max="2" width="13.5546875" style="1" customWidth="1"/>
    <col min="3" max="3" width="13" style="1" customWidth="1"/>
    <col min="4" max="4" width="13.5546875" style="1" customWidth="1"/>
    <col min="5" max="5" width="13" style="1" customWidth="1"/>
    <col min="6" max="6" width="14.5546875" style="1" customWidth="1"/>
    <col min="7" max="16384" width="11.44140625" style="1"/>
  </cols>
  <sheetData>
    <row r="1" spans="1:16" x14ac:dyDescent="0.25">
      <c r="A1" s="4"/>
      <c r="B1" s="177" t="s">
        <v>7</v>
      </c>
      <c r="C1" s="178"/>
      <c r="D1" s="179"/>
      <c r="E1" s="177" t="s">
        <v>223</v>
      </c>
      <c r="F1" s="178"/>
      <c r="G1" s="179"/>
      <c r="H1" s="177" t="s">
        <v>224</v>
      </c>
      <c r="I1" s="178"/>
      <c r="J1" s="179"/>
      <c r="K1" s="177" t="s">
        <v>225</v>
      </c>
      <c r="L1" s="178"/>
      <c r="M1" s="179"/>
      <c r="N1" s="178" t="s">
        <v>10</v>
      </c>
      <c r="O1" s="178"/>
      <c r="P1" s="179"/>
    </row>
    <row r="2" spans="1:16" ht="13.8" thickBot="1" x14ac:dyDescent="0.3">
      <c r="A2" s="4"/>
      <c r="B2" s="121" t="s">
        <v>11</v>
      </c>
      <c r="C2" s="122" t="s">
        <v>12</v>
      </c>
      <c r="D2" s="123" t="s">
        <v>13</v>
      </c>
      <c r="E2" s="121" t="s">
        <v>11</v>
      </c>
      <c r="F2" s="122" t="s">
        <v>12</v>
      </c>
      <c r="G2" s="123" t="s">
        <v>13</v>
      </c>
      <c r="H2" s="121" t="s">
        <v>11</v>
      </c>
      <c r="I2" s="122" t="s">
        <v>12</v>
      </c>
      <c r="J2" s="123" t="s">
        <v>13</v>
      </c>
      <c r="K2" s="121" t="s">
        <v>11</v>
      </c>
      <c r="L2" s="122" t="s">
        <v>12</v>
      </c>
      <c r="M2" s="123" t="s">
        <v>13</v>
      </c>
      <c r="N2" s="122" t="s">
        <v>11</v>
      </c>
      <c r="O2" s="122" t="s">
        <v>12</v>
      </c>
      <c r="P2" s="123" t="s">
        <v>13</v>
      </c>
    </row>
    <row r="3" spans="1:16" x14ac:dyDescent="0.25">
      <c r="A3" s="11" t="s">
        <v>8</v>
      </c>
      <c r="B3" s="127">
        <v>-1</v>
      </c>
      <c r="C3" s="29">
        <v>-0.9</v>
      </c>
      <c r="D3" s="128">
        <v>0</v>
      </c>
      <c r="E3" s="127">
        <v>0</v>
      </c>
      <c r="F3" s="29">
        <v>0</v>
      </c>
      <c r="G3" s="128">
        <v>0</v>
      </c>
      <c r="H3" s="127">
        <v>0</v>
      </c>
      <c r="I3" s="29">
        <v>0</v>
      </c>
      <c r="J3" s="128">
        <v>0</v>
      </c>
      <c r="K3" s="127">
        <v>0</v>
      </c>
      <c r="L3" s="29">
        <v>0</v>
      </c>
      <c r="M3" s="128">
        <v>0</v>
      </c>
      <c r="N3" s="127">
        <v>-1</v>
      </c>
      <c r="O3" s="29">
        <v>-0.2</v>
      </c>
      <c r="P3" s="128">
        <v>0</v>
      </c>
    </row>
    <row r="4" spans="1:16" x14ac:dyDescent="0.25">
      <c r="A4" s="12" t="s">
        <v>9</v>
      </c>
      <c r="B4" s="129">
        <v>1</v>
      </c>
      <c r="C4" s="130">
        <v>0.7</v>
      </c>
      <c r="D4" s="131">
        <v>0</v>
      </c>
      <c r="E4" s="129">
        <v>-1</v>
      </c>
      <c r="F4" s="130">
        <v>-2.9</v>
      </c>
      <c r="G4" s="131">
        <v>0</v>
      </c>
      <c r="H4" s="129">
        <v>-1</v>
      </c>
      <c r="I4" s="130">
        <v>-2.9</v>
      </c>
      <c r="J4" s="131">
        <v>0</v>
      </c>
      <c r="K4" s="129">
        <v>-1</v>
      </c>
      <c r="L4" s="130">
        <v>-2.9</v>
      </c>
      <c r="M4" s="131">
        <v>0</v>
      </c>
      <c r="N4" s="129">
        <v>-1</v>
      </c>
      <c r="O4" s="130">
        <v>-2.1</v>
      </c>
      <c r="P4" s="131">
        <v>0</v>
      </c>
    </row>
    <row r="5" spans="1:16" x14ac:dyDescent="0.25">
      <c r="A5" s="12" t="s">
        <v>14</v>
      </c>
      <c r="B5" s="129">
        <v>0</v>
      </c>
      <c r="C5" s="130">
        <v>0</v>
      </c>
      <c r="D5" s="131">
        <v>0</v>
      </c>
      <c r="E5" s="129">
        <v>1</v>
      </c>
      <c r="F5" s="130">
        <v>2.7</v>
      </c>
      <c r="G5" s="131">
        <v>0</v>
      </c>
      <c r="H5" s="129">
        <v>1</v>
      </c>
      <c r="I5" s="130">
        <v>2.7</v>
      </c>
      <c r="J5" s="131">
        <v>0</v>
      </c>
      <c r="K5" s="129">
        <v>1</v>
      </c>
      <c r="L5" s="130">
        <v>2.7</v>
      </c>
      <c r="M5" s="131">
        <v>0</v>
      </c>
      <c r="N5" s="129">
        <v>0</v>
      </c>
      <c r="O5" s="130">
        <v>2.1</v>
      </c>
      <c r="P5" s="131">
        <v>0</v>
      </c>
    </row>
    <row r="6" spans="1:16" x14ac:dyDescent="0.25">
      <c r="A6" s="12" t="s">
        <v>15</v>
      </c>
      <c r="B6" s="129">
        <v>-1.5</v>
      </c>
      <c r="C6" s="130">
        <v>0</v>
      </c>
      <c r="D6" s="131">
        <v>0</v>
      </c>
      <c r="E6" s="129">
        <v>-0.5</v>
      </c>
      <c r="F6" s="130">
        <v>0</v>
      </c>
      <c r="G6" s="131">
        <v>0</v>
      </c>
      <c r="H6" s="129">
        <v>-0.5</v>
      </c>
      <c r="I6" s="130">
        <v>0</v>
      </c>
      <c r="J6" s="131">
        <v>0</v>
      </c>
      <c r="K6" s="129">
        <v>-0.5</v>
      </c>
      <c r="L6" s="130">
        <v>0</v>
      </c>
      <c r="M6" s="131">
        <v>0</v>
      </c>
      <c r="N6" s="129">
        <v>0</v>
      </c>
      <c r="O6" s="130">
        <v>0</v>
      </c>
      <c r="P6" s="131">
        <v>0</v>
      </c>
    </row>
    <row r="7" spans="1:16" s="2" customFormat="1" x14ac:dyDescent="0.25">
      <c r="A7" s="12" t="s">
        <v>16</v>
      </c>
      <c r="B7" s="129">
        <v>0</v>
      </c>
      <c r="C7" s="130">
        <v>-1</v>
      </c>
      <c r="D7" s="131">
        <v>1</v>
      </c>
      <c r="E7" s="129">
        <v>0</v>
      </c>
      <c r="F7" s="130">
        <v>-1</v>
      </c>
      <c r="G7" s="131">
        <v>1</v>
      </c>
      <c r="H7" s="129">
        <v>0</v>
      </c>
      <c r="I7" s="130">
        <v>-1</v>
      </c>
      <c r="J7" s="131">
        <v>1</v>
      </c>
      <c r="K7" s="129">
        <v>0</v>
      </c>
      <c r="L7" s="130">
        <v>-1</v>
      </c>
      <c r="M7" s="131">
        <v>1</v>
      </c>
      <c r="N7" s="129">
        <v>0</v>
      </c>
      <c r="O7" s="130">
        <v>-1</v>
      </c>
      <c r="P7" s="131">
        <v>1</v>
      </c>
    </row>
    <row r="8" spans="1:16" s="2" customFormat="1" x14ac:dyDescent="0.25">
      <c r="A8" s="12" t="s">
        <v>17</v>
      </c>
      <c r="B8" s="132">
        <v>0</v>
      </c>
      <c r="C8" s="124">
        <v>0</v>
      </c>
      <c r="D8" s="133">
        <v>0</v>
      </c>
      <c r="E8" s="132">
        <v>0</v>
      </c>
      <c r="F8" s="124">
        <v>0</v>
      </c>
      <c r="G8" s="133">
        <v>0</v>
      </c>
      <c r="H8" s="132">
        <v>0</v>
      </c>
      <c r="I8" s="124">
        <v>0</v>
      </c>
      <c r="J8" s="133">
        <v>0</v>
      </c>
      <c r="K8" s="132">
        <v>0</v>
      </c>
      <c r="L8" s="124">
        <v>0</v>
      </c>
      <c r="M8" s="133">
        <v>0</v>
      </c>
      <c r="N8" s="132">
        <v>0</v>
      </c>
      <c r="O8" s="124">
        <v>0</v>
      </c>
      <c r="P8" s="133">
        <v>0</v>
      </c>
    </row>
    <row r="9" spans="1:16" x14ac:dyDescent="0.25">
      <c r="A9" s="72" t="s">
        <v>18</v>
      </c>
      <c r="B9" s="125">
        <v>0</v>
      </c>
      <c r="C9" s="126">
        <v>0</v>
      </c>
      <c r="D9" s="134">
        <v>0</v>
      </c>
      <c r="E9" s="125">
        <v>0</v>
      </c>
      <c r="F9" s="126">
        <v>0</v>
      </c>
      <c r="G9" s="134">
        <v>0</v>
      </c>
      <c r="H9" s="125">
        <v>0</v>
      </c>
      <c r="I9" s="126">
        <v>0</v>
      </c>
      <c r="J9" s="134">
        <v>0</v>
      </c>
      <c r="K9" s="125">
        <v>0</v>
      </c>
      <c r="L9" s="126">
        <v>0</v>
      </c>
      <c r="M9" s="134">
        <v>0</v>
      </c>
      <c r="N9" s="125">
        <v>0</v>
      </c>
      <c r="O9" s="126">
        <v>0</v>
      </c>
      <c r="P9" s="134">
        <v>0</v>
      </c>
    </row>
    <row r="10" spans="1:16" x14ac:dyDescent="0.25">
      <c r="A10" s="72" t="s">
        <v>19</v>
      </c>
      <c r="B10" s="125">
        <v>0</v>
      </c>
      <c r="C10" s="126">
        <v>0</v>
      </c>
      <c r="D10" s="134">
        <v>0</v>
      </c>
      <c r="E10" s="125">
        <v>0</v>
      </c>
      <c r="F10" s="126">
        <v>0</v>
      </c>
      <c r="G10" s="134">
        <v>0</v>
      </c>
      <c r="H10" s="125">
        <v>0</v>
      </c>
      <c r="I10" s="126">
        <v>0</v>
      </c>
      <c r="J10" s="134">
        <v>0</v>
      </c>
      <c r="K10" s="125">
        <v>0</v>
      </c>
      <c r="L10" s="126">
        <v>0</v>
      </c>
      <c r="M10" s="134">
        <v>0</v>
      </c>
      <c r="N10" s="125">
        <v>1</v>
      </c>
      <c r="O10" s="126">
        <v>0</v>
      </c>
      <c r="P10" s="134">
        <v>0</v>
      </c>
    </row>
    <row r="11" spans="1:16" x14ac:dyDescent="0.25">
      <c r="A11" s="120" t="s">
        <v>20</v>
      </c>
      <c r="B11" s="135">
        <v>1</v>
      </c>
      <c r="C11" s="26">
        <v>1.1000000000000001</v>
      </c>
      <c r="D11" s="136">
        <v>0</v>
      </c>
      <c r="E11" s="135">
        <v>0</v>
      </c>
      <c r="F11" s="26">
        <v>0.2</v>
      </c>
      <c r="G11" s="136">
        <v>0</v>
      </c>
      <c r="H11" s="135">
        <v>0</v>
      </c>
      <c r="I11" s="26">
        <v>0.2</v>
      </c>
      <c r="J11" s="136">
        <v>0</v>
      </c>
      <c r="K11" s="135">
        <v>0</v>
      </c>
      <c r="L11" s="26">
        <v>0.2</v>
      </c>
      <c r="M11" s="136">
        <v>0</v>
      </c>
      <c r="N11" s="135">
        <v>2</v>
      </c>
      <c r="O11" s="26">
        <v>0.4</v>
      </c>
      <c r="P11" s="136">
        <v>0</v>
      </c>
    </row>
    <row r="12" spans="1:16" ht="13.8" thickBot="1" x14ac:dyDescent="0.3">
      <c r="A12" s="82" t="s">
        <v>2</v>
      </c>
      <c r="B12" s="24">
        <v>1</v>
      </c>
      <c r="C12" s="137">
        <v>-1</v>
      </c>
      <c r="D12" s="138">
        <v>0</v>
      </c>
      <c r="E12" s="24">
        <v>0</v>
      </c>
      <c r="F12" s="137">
        <v>-1</v>
      </c>
      <c r="G12" s="138">
        <v>0</v>
      </c>
      <c r="H12" s="24">
        <v>0</v>
      </c>
      <c r="I12" s="137">
        <v>-1</v>
      </c>
      <c r="J12" s="138">
        <v>0</v>
      </c>
      <c r="K12" s="24">
        <v>0</v>
      </c>
      <c r="L12" s="137">
        <v>-1</v>
      </c>
      <c r="M12" s="138">
        <v>0</v>
      </c>
      <c r="N12" s="24">
        <v>0</v>
      </c>
      <c r="O12" s="137">
        <v>-1</v>
      </c>
      <c r="P12" s="138">
        <v>0</v>
      </c>
    </row>
  </sheetData>
  <mergeCells count="5">
    <mergeCell ref="B1:D1"/>
    <mergeCell ref="E1:G1"/>
    <mergeCell ref="N1:P1"/>
    <mergeCell ref="H1:J1"/>
    <mergeCell ref="K1:M1"/>
  </mergeCells>
  <conditionalFormatting sqref="B10:B12 G10:G12">
    <cfRule type="cellIs" dxfId="51" priority="114" operator="equal">
      <formula>0</formula>
    </cfRule>
  </conditionalFormatting>
  <conditionalFormatting sqref="D10:D12">
    <cfRule type="cellIs" dxfId="50" priority="93" operator="equal">
      <formula>0</formula>
    </cfRule>
  </conditionalFormatting>
  <conditionalFormatting sqref="D9">
    <cfRule type="cellIs" dxfId="49" priority="76" operator="equal">
      <formula>0</formula>
    </cfRule>
  </conditionalFormatting>
  <conditionalFormatting sqref="B3:B7">
    <cfRule type="cellIs" dxfId="48" priority="87" operator="equal">
      <formula>0</formula>
    </cfRule>
  </conditionalFormatting>
  <conditionalFormatting sqref="D3">
    <cfRule type="cellIs" dxfId="47" priority="86" operator="equal">
      <formula>0</formula>
    </cfRule>
  </conditionalFormatting>
  <conditionalFormatting sqref="D4:D7">
    <cfRule type="cellIs" dxfId="46" priority="85" operator="equal">
      <formula>0</formula>
    </cfRule>
  </conditionalFormatting>
  <conditionalFormatting sqref="B9">
    <cfRule type="cellIs" dxfId="45" priority="78" operator="equal">
      <formula>0</formula>
    </cfRule>
  </conditionalFormatting>
  <conditionalFormatting sqref="B8">
    <cfRule type="cellIs" dxfId="44" priority="72" operator="equal">
      <formula>0</formula>
    </cfRule>
  </conditionalFormatting>
  <conditionalFormatting sqref="D8">
    <cfRule type="cellIs" dxfId="43" priority="70" operator="equal">
      <formula>0</formula>
    </cfRule>
  </conditionalFormatting>
  <conditionalFormatting sqref="E3:F7 E10:F12">
    <cfRule type="cellIs" dxfId="42" priority="66" operator="equal">
      <formula>0</formula>
    </cfRule>
  </conditionalFormatting>
  <conditionalFormatting sqref="G3">
    <cfRule type="cellIs" dxfId="41" priority="62" operator="equal">
      <formula>0</formula>
    </cfRule>
  </conditionalFormatting>
  <conditionalFormatting sqref="G4:G7">
    <cfRule type="cellIs" dxfId="40" priority="61" operator="equal">
      <formula>0</formula>
    </cfRule>
  </conditionalFormatting>
  <conditionalFormatting sqref="E9">
    <cfRule type="cellIs" dxfId="39" priority="60" operator="equal">
      <formula>0</formula>
    </cfRule>
  </conditionalFormatting>
  <conditionalFormatting sqref="F9">
    <cfRule type="cellIs" dxfId="38" priority="59" operator="equal">
      <formula>0</formula>
    </cfRule>
  </conditionalFormatting>
  <conditionalFormatting sqref="G9">
    <cfRule type="cellIs" dxfId="37" priority="58" operator="equal">
      <formula>0</formula>
    </cfRule>
  </conditionalFormatting>
  <conditionalFormatting sqref="E8">
    <cfRule type="cellIs" dxfId="36" priority="57" operator="equal">
      <formula>0</formula>
    </cfRule>
  </conditionalFormatting>
  <conditionalFormatting sqref="F8">
    <cfRule type="cellIs" dxfId="35" priority="56" operator="equal">
      <formula>0</formula>
    </cfRule>
  </conditionalFormatting>
  <conditionalFormatting sqref="G8">
    <cfRule type="cellIs" dxfId="34" priority="55" operator="equal">
      <formula>0</formula>
    </cfRule>
  </conditionalFormatting>
  <conditionalFormatting sqref="O3:O7 N10:O12">
    <cfRule type="cellIs" dxfId="33" priority="54" operator="equal">
      <formula>0</formula>
    </cfRule>
  </conditionalFormatting>
  <conditionalFormatting sqref="P10:P12">
    <cfRule type="cellIs" dxfId="32" priority="53" operator="equal">
      <formula>0</formula>
    </cfRule>
  </conditionalFormatting>
  <conditionalFormatting sqref="P9">
    <cfRule type="cellIs" dxfId="31" priority="46" operator="equal">
      <formula>0</formula>
    </cfRule>
  </conditionalFormatting>
  <conditionalFormatting sqref="N3:N7">
    <cfRule type="cellIs" dxfId="30" priority="51" operator="equal">
      <formula>0</formula>
    </cfRule>
  </conditionalFormatting>
  <conditionalFormatting sqref="P3">
    <cfRule type="cellIs" dxfId="29" priority="50" operator="equal">
      <formula>0</formula>
    </cfRule>
  </conditionalFormatting>
  <conditionalFormatting sqref="P4:P7">
    <cfRule type="cellIs" dxfId="28" priority="49" operator="equal">
      <formula>0</formula>
    </cfRule>
  </conditionalFormatting>
  <conditionalFormatting sqref="N9">
    <cfRule type="cellIs" dxfId="27" priority="48" operator="equal">
      <formula>0</formula>
    </cfRule>
  </conditionalFormatting>
  <conditionalFormatting sqref="O9">
    <cfRule type="cellIs" dxfId="26" priority="47" operator="equal">
      <formula>0</formula>
    </cfRule>
  </conditionalFormatting>
  <conditionalFormatting sqref="N8">
    <cfRule type="cellIs" dxfId="25" priority="45" operator="equal">
      <formula>0</formula>
    </cfRule>
  </conditionalFormatting>
  <conditionalFormatting sqref="O8">
    <cfRule type="cellIs" dxfId="24" priority="44" operator="equal">
      <formula>0</formula>
    </cfRule>
  </conditionalFormatting>
  <conditionalFormatting sqref="P8">
    <cfRule type="cellIs" dxfId="23" priority="43" operator="equal">
      <formula>0</formula>
    </cfRule>
  </conditionalFormatting>
  <conditionalFormatting sqref="C3:C7 C10:C12">
    <cfRule type="cellIs" dxfId="22" priority="23" operator="equal">
      <formula>0</formula>
    </cfRule>
  </conditionalFormatting>
  <conditionalFormatting sqref="C9">
    <cfRule type="cellIs" dxfId="21" priority="22" operator="equal">
      <formula>0</formula>
    </cfRule>
  </conditionalFormatting>
  <conditionalFormatting sqref="C8">
    <cfRule type="cellIs" dxfId="20" priority="21" operator="equal">
      <formula>0</formula>
    </cfRule>
  </conditionalFormatting>
  <conditionalFormatting sqref="J10:J12">
    <cfRule type="cellIs" dxfId="19" priority="20" operator="equal">
      <formula>0</formula>
    </cfRule>
  </conditionalFormatting>
  <conditionalFormatting sqref="H3:I7 H10:I12">
    <cfRule type="cellIs" dxfId="18" priority="19" operator="equal">
      <formula>0</formula>
    </cfRule>
  </conditionalFormatting>
  <conditionalFormatting sqref="J3">
    <cfRule type="cellIs" dxfId="17" priority="18" operator="equal">
      <formula>0</formula>
    </cfRule>
  </conditionalFormatting>
  <conditionalFormatting sqref="J4:J7">
    <cfRule type="cellIs" dxfId="16" priority="17" operator="equal">
      <formula>0</formula>
    </cfRule>
  </conditionalFormatting>
  <conditionalFormatting sqref="H9">
    <cfRule type="cellIs" dxfId="15" priority="16" operator="equal">
      <formula>0</formula>
    </cfRule>
  </conditionalFormatting>
  <conditionalFormatting sqref="I9">
    <cfRule type="cellIs" dxfId="14" priority="15" operator="equal">
      <formula>0</formula>
    </cfRule>
  </conditionalFormatting>
  <conditionalFormatting sqref="J9">
    <cfRule type="cellIs" dxfId="13" priority="14" operator="equal">
      <formula>0</formula>
    </cfRule>
  </conditionalFormatting>
  <conditionalFormatting sqref="H8">
    <cfRule type="cellIs" dxfId="12" priority="13" operator="equal">
      <formula>0</formula>
    </cfRule>
  </conditionalFormatting>
  <conditionalFormatting sqref="I8">
    <cfRule type="cellIs" dxfId="11" priority="12" operator="equal">
      <formula>0</formula>
    </cfRule>
  </conditionalFormatting>
  <conditionalFormatting sqref="J8">
    <cfRule type="cellIs" dxfId="10" priority="11" operator="equal">
      <formula>0</formula>
    </cfRule>
  </conditionalFormatting>
  <conditionalFormatting sqref="M10:M12">
    <cfRule type="cellIs" dxfId="9" priority="10" operator="equal">
      <formula>0</formula>
    </cfRule>
  </conditionalFormatting>
  <conditionalFormatting sqref="K3:L7 K10:L12">
    <cfRule type="cellIs" dxfId="8" priority="9" operator="equal">
      <formula>0</formula>
    </cfRule>
  </conditionalFormatting>
  <conditionalFormatting sqref="M3">
    <cfRule type="cellIs" dxfId="7" priority="8" operator="equal">
      <formula>0</formula>
    </cfRule>
  </conditionalFormatting>
  <conditionalFormatting sqref="M4:M7">
    <cfRule type="cellIs" dxfId="6" priority="7" operator="equal">
      <formula>0</formula>
    </cfRule>
  </conditionalFormatting>
  <conditionalFormatting sqref="K9">
    <cfRule type="cellIs" dxfId="5" priority="6" operator="equal">
      <formula>0</formula>
    </cfRule>
  </conditionalFormatting>
  <conditionalFormatting sqref="L9">
    <cfRule type="cellIs" dxfId="4" priority="5" operator="equal">
      <formula>0</formula>
    </cfRule>
  </conditionalFormatting>
  <conditionalFormatting sqref="M9">
    <cfRule type="cellIs" dxfId="3" priority="4" operator="equal">
      <formula>0</formula>
    </cfRule>
  </conditionalFormatting>
  <conditionalFormatting sqref="K8">
    <cfRule type="cellIs" dxfId="2" priority="3" operator="equal">
      <formula>0</formula>
    </cfRule>
  </conditionalFormatting>
  <conditionalFormatting sqref="L8">
    <cfRule type="cellIs" dxfId="1" priority="2" operator="equal">
      <formula>0</formula>
    </cfRule>
  </conditionalFormatting>
  <conditionalFormatting sqref="M8">
    <cfRule type="cellIs" dxfId="0" priority="1"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Settings</vt:lpstr>
      <vt:lpstr>Discretization</vt:lpstr>
      <vt:lpstr>Parameters</vt:lpstr>
      <vt:lpstr>Diffusion</vt:lpstr>
      <vt:lpstr>Bacteria</vt:lpstr>
      <vt:lpstr>Solver</vt:lpstr>
      <vt:lpstr>Influent</vt:lpstr>
      <vt:lpstr>Initial condition</vt:lpstr>
      <vt:lpstr>ThermoParam</vt:lpstr>
      <vt:lpstr>Ks</vt:lpstr>
      <vt:lpstr>Ki</vt:lpstr>
      <vt:lpstr>Yield</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Eloi Martínez-Rabert (PGR)</cp:lastModifiedBy>
  <cp:revision/>
  <dcterms:created xsi:type="dcterms:W3CDTF">2008-02-06T12:16:03Z</dcterms:created>
  <dcterms:modified xsi:type="dcterms:W3CDTF">2022-06-07T11:31:00Z</dcterms:modified>
  <cp:category/>
  <cp:contentStatus/>
</cp:coreProperties>
</file>