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24226"/>
  <mc:AlternateContent xmlns:mc="http://schemas.openxmlformats.org/markup-compatibility/2006">
    <mc:Choice Requires="x15">
      <x15ac:absPath xmlns:x15ac="http://schemas.microsoft.com/office/spreadsheetml/2010/11/ac" url="C:\Users\2424069M\Documents\GitHub\IbM\planning\Excels\Templates\"/>
    </mc:Choice>
  </mc:AlternateContent>
  <xr:revisionPtr revIDLastSave="0" documentId="13_ncr:1_{B67CF786-C533-441A-826D-AD296871FE25}" xr6:coauthVersionLast="47" xr6:coauthVersionMax="47" xr10:uidLastSave="{00000000-0000-0000-0000-000000000000}"/>
  <bookViews>
    <workbookView xWindow="-108" yWindow="-108" windowWidth="23256" windowHeight="12576" tabRatio="808" firstSheet="2" activeTab="3"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27" l="1"/>
  <c r="B2" i="23"/>
  <c r="B4" i="23"/>
  <c r="E6" i="31"/>
  <c r="E5" i="31"/>
  <c r="E3" i="31"/>
  <c r="E2" i="31"/>
  <c r="D6" i="31"/>
  <c r="C4" i="31"/>
  <c r="C7" i="31"/>
  <c r="C3" i="31"/>
  <c r="B4" i="31"/>
  <c r="B7" i="31"/>
  <c r="B6" i="31"/>
  <c r="B5" i="31"/>
  <c r="B2" i="31"/>
  <c r="D4" i="32"/>
  <c r="D3" i="33"/>
  <c r="D4" i="33"/>
  <c r="D5" i="33"/>
  <c r="D6" i="33"/>
  <c r="D7" i="33"/>
  <c r="D2" i="33"/>
  <c r="B3" i="23" l="1"/>
  <c r="B1" i="23"/>
  <c r="B7" i="23" l="1"/>
  <c r="B6" i="23"/>
  <c r="B8" i="26" l="1"/>
  <c r="B7" i="25" l="1"/>
  <c r="B4" i="22" l="1"/>
  <c r="B6" i="29" l="1"/>
  <c r="B2" i="22"/>
  <c r="B1" i="22"/>
  <c r="B8" i="27"/>
  <c r="B3" i="22"/>
  <c r="B27" i="27"/>
  <c r="B10" i="26"/>
  <c r="B6" i="34" l="1"/>
  <c r="A6" i="34"/>
  <c r="B3" i="34"/>
  <c r="B4" i="34"/>
  <c r="B5" i="34"/>
  <c r="B7" i="34"/>
  <c r="B8" i="34"/>
  <c r="A8" i="34"/>
  <c r="A7" i="34"/>
  <c r="A5" i="34"/>
  <c r="A4" i="34"/>
  <c r="A3" i="34"/>
  <c r="B2" i="34"/>
  <c r="A2" i="34"/>
  <c r="B1" i="34"/>
  <c r="A1" i="34"/>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6" i="25"/>
  <c r="C21" i="24"/>
  <c r="C15" i="24"/>
  <c r="D17" i="24"/>
  <c r="B2" i="33"/>
  <c r="B7" i="28"/>
  <c r="B6" i="28"/>
  <c r="B5" i="28"/>
  <c r="B4" i="28"/>
  <c r="B3" i="28"/>
  <c r="B2" i="28"/>
  <c r="B1" i="28"/>
  <c r="B19" i="27" l="1"/>
  <c r="B17" i="27"/>
  <c r="B11" i="27"/>
  <c r="B4" i="25"/>
  <c r="B3" i="25"/>
  <c r="B7" i="27" s="1"/>
  <c r="B1" i="25" l="1"/>
  <c r="B8" i="25"/>
  <c r="B11" i="25"/>
  <c r="B2" i="25"/>
  <c r="AG17" i="18" l="1"/>
  <c r="AF23" i="18"/>
  <c r="AF22" i="18"/>
  <c r="AF21" i="18"/>
  <c r="AF20" i="18"/>
  <c r="AF19" i="18"/>
  <c r="AF18" i="18"/>
  <c r="AF17" i="18"/>
  <c r="AD6" i="18"/>
  <c r="AH4" i="18"/>
  <c r="S17" i="18"/>
  <c r="B6" i="22" l="1"/>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family val="2"/>
          </rPr>
          <t>Chiel van Amstel:</t>
        </r>
        <r>
          <rPr>
            <sz val="9"/>
            <color indexed="81"/>
            <rFont val="Tahoma"/>
            <family val="2"/>
          </rPr>
          <t xml:space="preserve">
[mol_x/mol_s]</t>
        </r>
      </text>
    </comment>
    <comment ref="B4" authorId="1"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<sst xmlns="http://schemas.openxmlformats.org/spreadsheetml/2006/main" count="577" uniqueCount="293">
  <si>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</si>
  <si>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</si>
  <si>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</si>
  <si>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</si>
  <si>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</si>
  <si>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</si>
  <si>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</si>
  <si>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</si>
  <si>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</si>
  <si>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</si>
  <si>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</si>
  <si>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</si>
  <si>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</si>
  <si>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</si>
  <si>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</si>
  <si>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</si>
  <si>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</si>
  <si>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</si>
  <si>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</si>
  <si>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</si>
  <si>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</si>
  <si>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</si>
  <si>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</si>
  <si>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</si>
  <si>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</si>
  <si>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</si>
  <si>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</si>
  <si>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</si>
  <si>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</si>
  <si>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</si>
  <si>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</si>
  <si>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</si>
  <si>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</si>
  <si>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</si>
  <si>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</si>
  <si>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</si>
  <si>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</si>
  <si>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</si>
  <si>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</si>
  <si>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</si>
  <si>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</si>
  <si>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</si>
  <si>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</si>
  <si>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</si>
  <si>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</si>
  <si>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</si>
  <si>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</si>
  <si>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</si>
  <si>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</si>
  <si>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</si>
  <si>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</si>
  <si>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</si>
  <si>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</si>
  <si>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</si>
  <si>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</si>
  <si>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</si>
  <si>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</si>
  <si>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</si>
  <si>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</si>
  <si>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</si>
  <si>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</si>
  <si>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</si>
  <si>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</si>
  <si>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</si>
  <si>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</si>
  <si>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</si>
  <si>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</si>
  <si>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</si>
  <si>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</si>
  <si>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</si>
  <si>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</si>
  <si>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</si>
  <si>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</si>
  <si>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</si>
  <si>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</si>
  <si>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</si>
  <si>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</si>
  <si>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</si>
  <si>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</si>
  <si>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</si>
  <si>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</si>
  <si>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</si>
  <si>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</si>
  <si>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</si>
  <si>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</si>
  <si>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</si>
  <si>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</si>
  <si>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</si>
  <si>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</si>
  <si>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</si>
  <si>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</si>
  <si>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</si>
  <si>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</si>
  <si>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</si>
  <si>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</si>
  <si>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</si>
  <si>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</si>
  <si>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</si>
  <si>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</si>
  <si>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</si>
  <si>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</si>
  <si>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</si>
  <si>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</si>
  <si>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</si>
  <si>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</si>
  <si>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</si>
  <si>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</si>
  <si>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</si>
  <si>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</si>
  <si>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</si>
  <si>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</si>
  <si>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</si>
  <si>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</si>
  <si>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</si>
  <si>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</si>
  <si>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</si>
  <si>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</si>
  <si>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</si>
  <si>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</si>
  <si>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</si>
  <si>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</si>
  <si>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</si>
  <si>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</si>
  <si>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</si>
  <si>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</si>
  <si>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</si>
  <si>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</si>
  <si>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</si>
  <si>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</si>
  <si>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</si>
  <si>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</si>
  <si>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</si>
  <si>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</si>
  <si>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</si>
  <si>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</si>
  <si>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</si>
  <si>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</si>
  <si>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</si>
  <si>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</si>
  <si>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</si>
  <si>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</si>
  <si>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</si>
  <si>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</si>
  <si>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</si>
  <si>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</si>
  <si>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</si>
  <si>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</si>
  <si>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</si>
  <si>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</si>
  <si>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</si>
  <si>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</si>
  <si>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</si>
  <si>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</si>
  <si>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</si>
  <si>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</si>
  <si>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</si>
  <si>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</si>
  <si>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</si>
  <si>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</si>
  <si>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</si>
  <si>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</si>
  <si>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</si>
  <si>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</si>
  <si>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</si>
  <si>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</si>
  <si>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</si>
  <si>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</si>
  <si>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</si>
  <si>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</si>
  <si>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</si>
  <si>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</si>
  <si>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</si>
  <si>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</si>
  <si>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</si>
  <si>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</si>
  <si>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</si>
  <si>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</si>
  <si>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</si>
  <si>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</si>
  <si>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</si>
  <si>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</si>
  <si>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</si>
  <si>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</si>
  <si>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</si>
  <si>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</si>
  <si>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</si>
  <si>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</si>
  <si>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</si>
  <si>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</si>
  <si>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</si>
  <si>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</si>
  <si>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</si>
  <si>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</si>
  <si>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</si>
  <si>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</si>
  <si>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</si>
  <si>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</si>
  <si>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</si>
  <si>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</si>
  <si>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</si>
  <si>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</si>
  <si>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</si>
  <si>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</si>
  <si>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</si>
  <si>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</si>
  <si>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</si>
  <si>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</si>
  <si>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</si>
  <si>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</si>
  <si>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</si>
  <si>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</si>
  <si>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</si>
  <si>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</si>
  <si>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</si>
  <si>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</si>
  <si>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</si>
  <si>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</si>
  <si>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</si>
  <si>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</si>
  <si>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</si>
  <si>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</si>
  <si>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</si>
  <si>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</si>
  <si>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</si>
  <si>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</si>
  <si>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</si>
  <si>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</si>
  <si>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</si>
  <si>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</si>
  <si>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</si>
  <si>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</si>
  <si>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</si>
  <si>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</si>
  <si>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</si>
  <si>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</si>
  <si>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</si>
  <si>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</si>
  <si>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</si>
  <si>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</si>
  <si>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</si>
  <si>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</si>
  <si>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</si>
  <si>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</si>
  <si>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</si>
  <si>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</si>
  <si>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</si>
  <si>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</si>
  <si>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</si>
  <si>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</si>
  <si>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</si>
  <si>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</si>
  <si>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</si>
  <si>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</si>
  <si>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</si>
  <si>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</si>
  <si>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</si>
  <si>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</si>
  <si>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</si>
  <si>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</si>
  <si>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</si>
  <si>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</si>
  <si>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</si>
  <si>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</si>
  <si>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</si>
  <si>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</si>
  <si>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</si>
  <si>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</si>
  <si>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</si>
  <si>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</si>
  <si>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</si>
  <si>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</si>
  <si>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</si>
  <si>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</si>
  <si>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</si>
  <si>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Yield C/N</t>
  </si>
  <si>
    <t>Average expected granule radius</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</si>
  <si>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</si>
  <si>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</si>
  <si>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</si>
  <si>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</si>
  <si>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</si>
  <si>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</si>
  <si>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</si>
  <si>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</si>
  <si>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</si>
  <si>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</si>
  <si>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</si>
  <si>
    <t>Density granule</t>
  </si>
  <si>
    <t>Density reactor</t>
  </si>
  <si>
    <t>An-NRMX</t>
  </si>
  <si>
    <t>mol/L/h</t>
  </si>
  <si>
    <t>Residual value of the diffusion equation below which steady state can be assumed. Default: 0.005 mol/L/h</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</si>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</sst>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70">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171" fontId="23" fillId="0" borderId="0" xfId="0" applyNumberFormat="1" applyFont="1"/>
    <xf numFmtId="0" fontId="29" fillId="0" borderId="0" xfId="0" applyFont="1" applyFill="1" applyBorder="1" applyAlignment="1">
      <alignment horizontal="left" vertical="center"/>
    </xf>
    <xf numFmtId="0" fontId="0" fillId="11" borderId="39" xfId="10" applyNumberFormat="1" applyFont="1" applyAlignment="1">
      <alignment horizontal="center"/>
    </xf>
    <xf numFmtId="11" fontId="23" fillId="0" borderId="0" xfId="0" applyNumberFormat="1" applyFont="1"/>
    <xf numFmtId="0" fontId="23" fillId="0" borderId="0" xfId="0" applyNumberFormat="1" applyFont="1"/>
    <xf numFmtId="11" fontId="2" fillId="11" borderId="54" xfId="10" applyNumberFormat="1" applyFont="1" applyBorder="1" applyAlignment="1">
      <alignment horizontal="center" vertic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xf numFmtId="11" fontId="0" fillId="11" borderId="75" xfId="10" applyNumberFormat="1" applyFont="1" applyBorder="1" applyAlignment="1">
      <alignment horizontal="center" vertical="center"/>
    </xf>
    <xf numFmtId="11" fontId="0" fillId="11" borderId="77" xfId="10" applyNumberFormat="1" applyFont="1" applyBorder="1" applyAlignment="1">
      <alignment horizontal="center" vertical="center"/>
    </xf>
    <xf numFmtId="11" fontId="0" fillId="0" borderId="0" xfId="0" applyNumberFormat="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100">
    <dxf>
      <font>
        <b val="0"/>
        <i/>
        <color theme="1" tint="0.34998626667073579"/>
      </font>
    </dxf>
    <dxf>
      <font>
        <b val="0"/>
        <i/>
        <color theme="1" tint="0.34998626667073579"/>
      </font>
    </dxf>
    <dxf>
      <font>
        <b val="0"/>
        <i/>
        <color theme="1" tint="0.34998626667073579"/>
      </font>
    </dxf>
    <dxf>
      <font>
        <b val="0"/>
        <i/>
        <color theme="1"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sheetPr codeName="Sheet1"/>
  <dimension ref="A1:C17"/>
  <sheetViews>
    <sheetView workbookViewId="0">
      <selection activeCell="B12" sqref="B12"/>
    </sheetView>
  </sheetViews>
  <sheetFormatPr defaultRowHeight="13.2" x14ac:dyDescent="0.25"/>
  <cols>
    <col min="1" max="1" width="44.44140625" customWidth="1"/>
    <col min="2" max="2" width="33.88671875" customWidth="1"/>
    <col min="3" max="3" width="45" customWidth="1"/>
  </cols>
  <sheetData>
    <row r="1" spans="1:3" x14ac:dyDescent="0.25">
      <c r="A1" s="96" t="s">
        <v>111</v>
      </c>
      <c r="B1" s="96" t="s">
        <v>109</v>
      </c>
      <c r="C1" s="96" t="s">
        <v>110</v>
      </c>
    </row>
    <row r="2" spans="1:3" x14ac:dyDescent="0.25">
      <c r="A2" s="95" t="s">
        <v>118</v>
      </c>
      <c r="B2" s="69" t="s">
        <v>113</v>
      </c>
      <c r="C2" s="69" t="s">
        <v>114</v>
      </c>
    </row>
    <row r="3" spans="1:3" x14ac:dyDescent="0.25">
      <c r="B3" s="69" t="s">
        <v>116</v>
      </c>
    </row>
    <row r="4" spans="1:3" x14ac:dyDescent="0.25">
      <c r="B4" s="69" t="s">
        <v>115</v>
      </c>
    </row>
    <row r="9" spans="1:3" ht="21" x14ac:dyDescent="0.4">
      <c r="A9" s="226" t="s">
        <v>261</v>
      </c>
    </row>
    <row r="10" spans="1:3" ht="52.8" x14ac:dyDescent="0.25">
      <c r="A10" s="227" t="s">
        <v>262</v>
      </c>
    </row>
    <row r="11" spans="1:3" ht="27" thickBot="1" x14ac:dyDescent="0.3">
      <c r="A11" s="225" t="s">
        <v>263</v>
      </c>
    </row>
    <row r="12" spans="1:3" x14ac:dyDescent="0.25">
      <c r="A12" s="224" t="s">
        <v>267</v>
      </c>
    </row>
    <row r="13" spans="1:3" ht="28.8" x14ac:dyDescent="0.25">
      <c r="A13" s="220" t="s">
        <v>264</v>
      </c>
    </row>
    <row r="14" spans="1:3" ht="26.4" x14ac:dyDescent="0.25">
      <c r="A14" s="219" t="s">
        <v>265</v>
      </c>
    </row>
    <row r="15" spans="1:3" ht="52.8" x14ac:dyDescent="0.25">
      <c r="A15" s="221" t="s">
        <v>269</v>
      </c>
    </row>
    <row r="16" spans="1:3" ht="52.8" x14ac:dyDescent="0.25">
      <c r="A16" s="222" t="s">
        <v>266</v>
      </c>
    </row>
    <row r="17" spans="1:1" ht="40.200000000000003" thickBot="1" x14ac:dyDescent="0.3">
      <c r="A17" s="223" t="s">
        <v>268</v>
      </c>
    </row>
  </sheetData>
  <conditionalFormatting sqref="A15">
    <cfRule type="expression" dxfId="99" priority="6">
      <formula>$B$2 = FALSE</formula>
    </cfRule>
  </conditionalFormatting>
  <conditionalFormatting sqref="A16">
    <cfRule type="containsText" dxfId="98" priority="4" operator="containsText" text="NA">
      <formula>NOT(ISERROR(SEARCH("NA",A16)))</formula>
    </cfRule>
    <cfRule type="containsText" dxfId="97" priority="5" operator="containsText" text="Inf">
      <formula>NOT(ISERROR(SEARCH("Inf",A16)))</formula>
    </cfRule>
  </conditionalFormatting>
  <conditionalFormatting sqref="A16">
    <cfRule type="cellIs" dxfId="96" priority="3" operator="equal">
      <formula>0</formula>
    </cfRule>
  </conditionalFormatting>
  <conditionalFormatting sqref="A17">
    <cfRule type="expression" dxfId="95"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J12"/>
  <sheetViews>
    <sheetView workbookViewId="0">
      <selection activeCell="B4" sqref="B4"/>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f>Influent!B1</f>
        <v>5.0000000000000001E-4</v>
      </c>
      <c r="C1" s="90" t="s">
        <v>87</v>
      </c>
      <c r="D1" s="263" t="s">
        <v>229</v>
      </c>
      <c r="E1" s="69"/>
      <c r="F1" s="69"/>
      <c r="G1" s="69"/>
    </row>
    <row r="2" spans="1:10" ht="15" customHeight="1" x14ac:dyDescent="0.25">
      <c r="A2" s="77" t="s">
        <v>75</v>
      </c>
      <c r="B2" s="131">
        <f>Influent!B2</f>
        <v>3.7500000000000001E-4</v>
      </c>
      <c r="C2" s="90" t="s">
        <v>87</v>
      </c>
      <c r="D2" s="263"/>
      <c r="E2" s="69"/>
      <c r="F2" s="69"/>
      <c r="G2" s="69"/>
    </row>
    <row r="3" spans="1:10" ht="15" customHeight="1" x14ac:dyDescent="0.25">
      <c r="A3" s="77" t="s">
        <v>80</v>
      </c>
      <c r="B3" s="131">
        <f>Influent!B3</f>
        <v>5.0000000000000001E-4</v>
      </c>
      <c r="C3" s="90" t="s">
        <v>87</v>
      </c>
      <c r="D3" s="263"/>
      <c r="E3" s="69"/>
      <c r="F3" s="69"/>
      <c r="G3" s="69"/>
    </row>
    <row r="4" spans="1:10" ht="15" customHeight="1" x14ac:dyDescent="0.25">
      <c r="A4" s="77" t="s">
        <v>81</v>
      </c>
      <c r="B4" s="131">
        <f>1*10^(-6)</f>
        <v>9.9999999999999995E-7</v>
      </c>
      <c r="C4" s="90" t="s">
        <v>87</v>
      </c>
      <c r="D4" s="263"/>
      <c r="E4" s="69"/>
      <c r="F4" s="69"/>
      <c r="G4" s="69"/>
    </row>
    <row r="5" spans="1:10" ht="15" customHeight="1" x14ac:dyDescent="0.25">
      <c r="A5" s="77" t="s">
        <v>82</v>
      </c>
      <c r="B5" s="131">
        <v>1E-3</v>
      </c>
      <c r="C5" s="90" t="s">
        <v>87</v>
      </c>
      <c r="D5" s="263"/>
      <c r="E5" s="69"/>
      <c r="F5" s="69"/>
      <c r="G5" s="69"/>
    </row>
    <row r="6" spans="1:10" ht="15" customHeight="1" x14ac:dyDescent="0.25">
      <c r="A6" s="108" t="s">
        <v>83</v>
      </c>
      <c r="B6" s="135">
        <f>B1/2</f>
        <v>2.5000000000000001E-4</v>
      </c>
      <c r="C6" s="126" t="s">
        <v>87</v>
      </c>
      <c r="D6" s="263"/>
      <c r="E6" s="69"/>
      <c r="F6" s="69"/>
      <c r="G6" s="69"/>
    </row>
    <row r="7" spans="1:10" ht="15" customHeight="1" x14ac:dyDescent="0.25">
      <c r="A7" s="149" t="s">
        <v>84</v>
      </c>
      <c r="B7" s="150">
        <v>1E-10</v>
      </c>
      <c r="C7" s="151" t="s">
        <v>87</v>
      </c>
      <c r="D7" s="263"/>
      <c r="E7" s="69"/>
      <c r="F7" s="144"/>
      <c r="G7" s="144"/>
      <c r="H7" s="145"/>
      <c r="I7" s="145"/>
      <c r="J7" s="145"/>
    </row>
    <row r="8" spans="1:10" x14ac:dyDescent="0.25">
      <c r="E8" s="69"/>
      <c r="F8" s="146"/>
      <c r="G8" s="147"/>
      <c r="H8" s="148"/>
      <c r="I8" s="146"/>
      <c r="J8" s="145"/>
    </row>
    <row r="10" spans="1:10" x14ac:dyDescent="0.25">
      <c r="A10" s="69"/>
      <c r="B10" s="69"/>
      <c r="C10" s="69"/>
      <c r="D10" s="69"/>
      <c r="E10" s="69"/>
      <c r="F10" s="69"/>
      <c r="G10" s="94"/>
    </row>
    <row r="12" spans="1:10" x14ac:dyDescent="0.25">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I33"/>
  <sheetViews>
    <sheetView workbookViewId="0">
      <selection activeCell="G16" sqref="G1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60" t="s">
        <v>91</v>
      </c>
      <c r="B1" s="161" t="s">
        <v>235</v>
      </c>
      <c r="C1" s="161" t="s">
        <v>231</v>
      </c>
      <c r="D1" s="162" t="s">
        <v>232</v>
      </c>
      <c r="E1" s="161" t="s">
        <v>233</v>
      </c>
      <c r="F1" s="162" t="s">
        <v>234</v>
      </c>
      <c r="G1" s="162" t="s">
        <v>248</v>
      </c>
    </row>
    <row r="2" spans="1:9" ht="13.2" x14ac:dyDescent="0.25">
      <c r="A2" s="76" t="s">
        <v>74</v>
      </c>
      <c r="B2" s="170" t="s">
        <v>92</v>
      </c>
      <c r="C2" s="170">
        <v>-79.37</v>
      </c>
      <c r="D2" s="170">
        <v>-26.57</v>
      </c>
      <c r="E2" s="170" t="s">
        <v>92</v>
      </c>
      <c r="F2" s="170" t="s">
        <v>92</v>
      </c>
      <c r="G2" s="167">
        <v>3</v>
      </c>
      <c r="H2" s="163" t="s">
        <v>88</v>
      </c>
      <c r="I2" s="263" t="s">
        <v>249</v>
      </c>
    </row>
    <row r="3" spans="1:9" ht="13.2" x14ac:dyDescent="0.25">
      <c r="A3" s="77" t="s">
        <v>75</v>
      </c>
      <c r="B3" s="170" t="s">
        <v>92</v>
      </c>
      <c r="C3" s="170">
        <v>-50.6</v>
      </c>
      <c r="D3" s="170">
        <v>-32.200000000000003</v>
      </c>
      <c r="E3" s="170" t="s">
        <v>92</v>
      </c>
      <c r="F3" s="170" t="s">
        <v>92</v>
      </c>
      <c r="G3" s="168">
        <v>2</v>
      </c>
      <c r="H3" s="164" t="s">
        <v>88</v>
      </c>
      <c r="I3" s="263"/>
    </row>
    <row r="4" spans="1:9" ht="13.2" x14ac:dyDescent="0.25">
      <c r="A4" s="77" t="s">
        <v>80</v>
      </c>
      <c r="B4" s="170" t="s">
        <v>92</v>
      </c>
      <c r="C4" s="170">
        <v>-103.7</v>
      </c>
      <c r="D4" s="170">
        <v>-111.3</v>
      </c>
      <c r="E4" s="170" t="s">
        <v>92</v>
      </c>
      <c r="F4" s="170" t="s">
        <v>92</v>
      </c>
      <c r="G4" s="168">
        <v>2</v>
      </c>
      <c r="H4" s="164" t="s">
        <v>88</v>
      </c>
      <c r="I4" s="263"/>
    </row>
    <row r="5" spans="1:9" ht="13.2" x14ac:dyDescent="0.25">
      <c r="A5" s="77" t="s">
        <v>81</v>
      </c>
      <c r="B5" s="170" t="s">
        <v>92</v>
      </c>
      <c r="C5" s="170">
        <v>16.399999999999999</v>
      </c>
      <c r="D5" s="170" t="s">
        <v>92</v>
      </c>
      <c r="E5" s="170" t="s">
        <v>92</v>
      </c>
      <c r="F5" s="170" t="s">
        <v>92</v>
      </c>
      <c r="G5" s="168">
        <v>2</v>
      </c>
      <c r="H5" s="164" t="s">
        <v>88</v>
      </c>
      <c r="I5" s="263"/>
    </row>
    <row r="6" spans="1:9" ht="13.2" x14ac:dyDescent="0.25">
      <c r="A6" s="77" t="s">
        <v>82</v>
      </c>
      <c r="B6" s="170">
        <f>-386</f>
        <v>-386</v>
      </c>
      <c r="C6" s="170">
        <v>-623.16</v>
      </c>
      <c r="D6" s="170">
        <v>-586.85</v>
      </c>
      <c r="E6" s="170">
        <v>-527.79999999999995</v>
      </c>
      <c r="F6" s="170" t="s">
        <v>92</v>
      </c>
      <c r="G6" s="168">
        <v>3</v>
      </c>
      <c r="H6" s="164" t="s">
        <v>88</v>
      </c>
      <c r="I6" s="263"/>
    </row>
    <row r="7" spans="1:9" ht="13.2" x14ac:dyDescent="0.25">
      <c r="A7" s="77" t="s">
        <v>83</v>
      </c>
      <c r="B7" s="174" t="s">
        <v>92</v>
      </c>
      <c r="C7" s="174">
        <v>-755.9</v>
      </c>
      <c r="D7" s="174">
        <f>-180.69*4.184</f>
        <v>-756.00696000000005</v>
      </c>
      <c r="E7" s="174">
        <f>-177.97*4.184</f>
        <v>-744.62648000000002</v>
      </c>
      <c r="F7" s="174" t="s">
        <v>92</v>
      </c>
      <c r="G7" s="169">
        <v>4</v>
      </c>
      <c r="H7" s="74" t="s">
        <v>88</v>
      </c>
      <c r="I7" s="263"/>
    </row>
    <row r="8" spans="1:9" s="71" customFormat="1" ht="13.2" x14ac:dyDescent="0.25">
      <c r="A8" s="149" t="s">
        <v>84</v>
      </c>
      <c r="B8" s="176" t="s">
        <v>92</v>
      </c>
      <c r="C8" s="176">
        <v>0</v>
      </c>
      <c r="D8" s="176" t="s">
        <v>92</v>
      </c>
      <c r="E8" s="176" t="s">
        <v>92</v>
      </c>
      <c r="F8" s="177" t="s">
        <v>92</v>
      </c>
      <c r="G8" s="196">
        <v>2</v>
      </c>
      <c r="H8" s="73" t="s">
        <v>88</v>
      </c>
      <c r="I8" s="263"/>
    </row>
    <row r="9" spans="1:9" s="71" customFormat="1" ht="13.2" x14ac:dyDescent="0.25">
      <c r="A9" s="108" t="s">
        <v>85</v>
      </c>
      <c r="B9" s="178" t="s">
        <v>92</v>
      </c>
      <c r="C9" s="176">
        <v>0</v>
      </c>
      <c r="D9" s="176" t="s">
        <v>92</v>
      </c>
      <c r="E9" s="176" t="s">
        <v>92</v>
      </c>
      <c r="F9" s="177" t="s">
        <v>92</v>
      </c>
      <c r="G9" s="196">
        <v>2</v>
      </c>
      <c r="H9" s="93" t="s">
        <v>89</v>
      </c>
      <c r="I9" s="263"/>
    </row>
    <row r="10" spans="1:9" s="71" customFormat="1" ht="13.2" x14ac:dyDescent="0.25">
      <c r="A10" s="158" t="s">
        <v>86</v>
      </c>
      <c r="B10" s="175" t="s">
        <v>92</v>
      </c>
      <c r="C10" s="175">
        <v>-237.18</v>
      </c>
      <c r="D10" s="175">
        <v>-157.30000000000001</v>
      </c>
      <c r="E10" s="175" t="s">
        <v>92</v>
      </c>
      <c r="F10" s="175" t="s">
        <v>92</v>
      </c>
      <c r="G10" s="195">
        <v>2</v>
      </c>
      <c r="H10" s="73" t="s">
        <v>88</v>
      </c>
      <c r="I10" s="263"/>
    </row>
    <row r="11" spans="1:9" s="71" customFormat="1" thickBot="1" x14ac:dyDescent="0.3">
      <c r="A11" s="159" t="s">
        <v>18</v>
      </c>
      <c r="B11" s="170" t="s">
        <v>92</v>
      </c>
      <c r="C11" s="170">
        <v>0</v>
      </c>
      <c r="D11" s="170" t="s">
        <v>92</v>
      </c>
      <c r="E11" s="170" t="s">
        <v>92</v>
      </c>
      <c r="F11" s="170" t="s">
        <v>92</v>
      </c>
      <c r="G11" s="169">
        <v>2</v>
      </c>
      <c r="H11" s="74" t="s">
        <v>88</v>
      </c>
      <c r="I11" s="263"/>
    </row>
    <row r="12" spans="1:9" s="71" customFormat="1" ht="28.2" customHeight="1" thickBot="1" x14ac:dyDescent="0.3">
      <c r="A12" s="160" t="s">
        <v>91</v>
      </c>
      <c r="B12" s="165" t="s">
        <v>237</v>
      </c>
      <c r="C12" s="165" t="s">
        <v>238</v>
      </c>
      <c r="D12" s="166" t="s">
        <v>239</v>
      </c>
      <c r="E12" s="165" t="s">
        <v>240</v>
      </c>
      <c r="H12" s="72"/>
    </row>
    <row r="13" spans="1:9" s="71" customFormat="1" ht="13.2" x14ac:dyDescent="0.25">
      <c r="A13" s="76" t="s">
        <v>74</v>
      </c>
      <c r="B13" s="171">
        <f>IF(COUNT(B2,C2)=2, EXP(($C$10+B2-C2)/-(Parameters!$B$9*Parameters!$B$6)), 0)</f>
        <v>0</v>
      </c>
      <c r="C13" s="155">
        <f>IF(COUNT(C2,D2)=2, EXP((D2-C2)/-(Parameters!$B$9*Parameters!$B$6)), 0)</f>
        <v>3.9083870641861443E-10</v>
      </c>
      <c r="D13" s="171">
        <f>IF(COUNT(D2,E2)=2, EXP((E2-D2)/-(Parameters!$B$9*Parameters!$B$6)), 0)</f>
        <v>0</v>
      </c>
      <c r="E13" s="171">
        <f>IF(COUNT(E2,F2)=2, EXP((F2-E2)/-(Parameters!$B$9*Parameters!$B$6)), 0)</f>
        <v>0</v>
      </c>
      <c r="H13" s="72"/>
      <c r="I13" s="262" t="s">
        <v>250</v>
      </c>
    </row>
    <row r="14" spans="1:9" s="71" customFormat="1" ht="13.2" x14ac:dyDescent="0.25">
      <c r="A14" s="77" t="s">
        <v>75</v>
      </c>
      <c r="B14" s="171">
        <f>IF(COUNT(B3,C3)=2, EXP(($C$10+B3-C3)/-(Parameters!$B$9*Parameters!$B$6)), 0)</f>
        <v>0</v>
      </c>
      <c r="C14" s="155">
        <f>IF(COUNT(C3,D3)=2, EXP((D3-C3)/-(Parameters!$B$9*Parameters!$B$6)), 0)</f>
        <v>5.2656707191475868E-4</v>
      </c>
      <c r="D14" s="171">
        <f>IF(COUNT(D3,E3)=2, EXP((E3-D3)/-(Parameters!$B$9*Parameters!$B$6)), 0)</f>
        <v>0</v>
      </c>
      <c r="E14" s="171">
        <f>IF(COUNT(E3,F3)=2, EXP((F3-E3)/-(Parameters!$B$9*Parameters!$B$6)), 0)</f>
        <v>0</v>
      </c>
      <c r="H14" s="72"/>
      <c r="I14" s="262"/>
    </row>
    <row r="15" spans="1:9" s="71" customFormat="1" ht="13.2" x14ac:dyDescent="0.25">
      <c r="A15" s="77" t="s">
        <v>80</v>
      </c>
      <c r="B15" s="171">
        <f>IF(COUNT(B4,C4)=2, EXP(($C$10+B4-C4)/-(Parameters!$B$9*Parameters!$B$6)), 0)</f>
        <v>0</v>
      </c>
      <c r="C15" s="155">
        <f>IF(COUNT(C4,D4)=2, EXP((D4-C4)/-(Parameters!$B$9*Parameters!$B$6)), 0)</f>
        <v>22.603837077490315</v>
      </c>
      <c r="D15" s="171">
        <f>IF(COUNT(D4,E4)=2, EXP((E4-D4)/-(Parameters!$B$9*Parameters!$B$6)), 0)</f>
        <v>0</v>
      </c>
      <c r="E15" s="171">
        <f>IF(COUNT(E4,F4)=2, EXP((F4-E4)/-(Parameters!$B$9*Parameters!$B$6)), 0)</f>
        <v>0</v>
      </c>
      <c r="H15" s="72"/>
      <c r="I15" s="262"/>
    </row>
    <row r="16" spans="1:9" ht="13.2" x14ac:dyDescent="0.25">
      <c r="A16" s="77" t="s">
        <v>81</v>
      </c>
      <c r="B16" s="171">
        <f>IF(COUNT(B5,C5)=2, EXP(($C$10+B5-C5)/-(Parameters!$B$9*Parameters!$B$6)), 0)</f>
        <v>0</v>
      </c>
      <c r="C16" s="171">
        <f>IF(COUNT(C5,D5)=2, EXP((D5-C5)/-(Parameters!$B$9*Parameters!$B$6)), 0)</f>
        <v>0</v>
      </c>
      <c r="D16" s="171">
        <f>IF(COUNT(D5,E5)=2, EXP((E5-D5)/-(Parameters!$B$9*Parameters!$B$6)), 0)</f>
        <v>0</v>
      </c>
      <c r="E16" s="171">
        <f>IF(COUNT(E5,F5)=2, EXP((F5-E5)/-(Parameters!$B$9*Parameters!$B$6)), 0)</f>
        <v>0</v>
      </c>
      <c r="F16" s="71"/>
      <c r="I16" s="262"/>
    </row>
    <row r="17" spans="1:9" ht="13.2" x14ac:dyDescent="0.25">
      <c r="A17" s="77" t="s">
        <v>82</v>
      </c>
      <c r="B17" s="172">
        <f>1/0.0017</f>
        <v>588.23529411764707</v>
      </c>
      <c r="C17" s="155">
        <f>IF(COUNT(C6,D6)=2, EXP((D6-C6)/-(Parameters!$B$9*Parameters!$B$6)), 0)</f>
        <v>3.3901312221699524E-7</v>
      </c>
      <c r="D17" s="155">
        <f>IF(COUNT(D6,E6)=2, EXP((E6-D6)/-(Parameters!$B$9*Parameters!$B$6)), 0)</f>
        <v>3.008575507210982E-11</v>
      </c>
      <c r="E17" s="171">
        <f>IF(COUNT(E6,F6)=2, EXP((F6-E6)/-(Parameters!$B$9*Parameters!$B$6)), 0)</f>
        <v>0</v>
      </c>
      <c r="F17" s="71"/>
      <c r="I17" s="262"/>
    </row>
    <row r="18" spans="1:9" ht="13.2" x14ac:dyDescent="0.25">
      <c r="A18" s="108" t="s">
        <v>83</v>
      </c>
      <c r="B18" s="180">
        <f>IF(COUNT(B7,C7)=2, EXP(($C$10+B7-C7)/-(Parameters!$B$9*Parameters!$B$6)), 0)</f>
        <v>0</v>
      </c>
      <c r="C18" s="193">
        <v>100</v>
      </c>
      <c r="D18" s="194">
        <f>10^(-1.92)</f>
        <v>1.2022644346174125E-2</v>
      </c>
      <c r="E18" s="181">
        <f>IF(COUNT(E7,F7)=2, EXP((F7-E7)/-(Parameters!$B$9*Parameters!$B$6)), 0)</f>
        <v>0</v>
      </c>
      <c r="F18" s="71"/>
      <c r="H18" s="71"/>
      <c r="I18" s="262"/>
    </row>
    <row r="19" spans="1:9" ht="13.2" x14ac:dyDescent="0.25">
      <c r="A19" s="149" t="s">
        <v>84</v>
      </c>
      <c r="B19" s="191">
        <f>IF(COUNT(B8,C8)=2, EXP(($C$10+B8-C8)/-(Parameters!$B$9*Parameters!$B$6)), 0)</f>
        <v>0</v>
      </c>
      <c r="C19" s="192">
        <f>IF(COUNT(C8,D8)=2, EXP((D8-C8)/-(Parameters!$B$9*Parameters!$B$6)), 0)</f>
        <v>0</v>
      </c>
      <c r="D19" s="192">
        <f>IF(COUNT(D8,E8)=2, EXP((E8-D8)/-(Parameters!$B$9*Parameters!$B$6)), 0)</f>
        <v>0</v>
      </c>
      <c r="E19" s="192">
        <f>IF(COUNT(E8,F8)=2, EXP((F8-E8)/-(Parameters!$B$9*Parameters!$B$6)), 0)</f>
        <v>0</v>
      </c>
      <c r="F19" s="71"/>
      <c r="H19" s="71"/>
      <c r="I19" s="262"/>
    </row>
    <row r="20" spans="1:9" ht="13.2" x14ac:dyDescent="0.25">
      <c r="A20" s="149" t="s">
        <v>85</v>
      </c>
      <c r="B20" s="182">
        <f>IF(COUNT(B9,C9)=2, EXP(($C$10+B9-C9)/-(Parameters!$B$9*Parameters!$B$6)), 0)</f>
        <v>0</v>
      </c>
      <c r="C20" s="183">
        <f>IF(COUNT(C9,D9)=2, EXP((D9-C9)/-(Parameters!$B$9*Parameters!$B$6)), 0)</f>
        <v>0</v>
      </c>
      <c r="D20" s="183">
        <f>IF(COUNT(D9,E9)=2, EXP((E9-D9)/-(Parameters!$B$9*Parameters!$B$6)), 0)</f>
        <v>0</v>
      </c>
      <c r="E20" s="183">
        <f>IF(COUNT(E9,F9)=2, EXP((F9-E9)/-(Parameters!$B$9*Parameters!$B$6)), 0)</f>
        <v>0</v>
      </c>
      <c r="F20" s="71"/>
      <c r="H20" s="71"/>
      <c r="I20" s="262"/>
    </row>
    <row r="21" spans="1:9" ht="13.2" x14ac:dyDescent="0.25">
      <c r="A21" s="158" t="s">
        <v>86</v>
      </c>
      <c r="B21" s="179">
        <f>IF(COUNT(B10,C10)=2, EXP(($C$10+B10-C10)/-(Parameters!$B$9*Parameters!$B$6)), 0)</f>
        <v>0</v>
      </c>
      <c r="C21" s="118">
        <f>IF(COUNT(C10,D10)=2, EXP((D10-C10)/-(Parameters!$B$9*Parameters!$B$6)), 0)</f>
        <v>5.845648305092005E-15</v>
      </c>
      <c r="D21" s="179">
        <f>IF(COUNT(D10,E10)=2, EXP((E10-D10)/-(Parameters!$B$9*Parameters!$B$6)), 0)</f>
        <v>0</v>
      </c>
      <c r="E21" s="179">
        <f>IF(COUNT(E10,F10)=2, EXP((F10-E10)/-(Parameters!$B$9*Parameters!$B$6)), 0)</f>
        <v>0</v>
      </c>
      <c r="F21" s="71"/>
      <c r="H21" s="71"/>
      <c r="I21" s="262"/>
    </row>
    <row r="22" spans="1:9" thickBot="1" x14ac:dyDescent="0.3">
      <c r="A22" s="159" t="s">
        <v>18</v>
      </c>
      <c r="B22" s="171">
        <f>IF(COUNT(B11,C11)=2, EXP(($C$10+B11-C11)/-(Parameters!$B$9*Parameters!$B$6)), 0)</f>
        <v>0</v>
      </c>
      <c r="C22" s="171">
        <f>IF(COUNT(C11,D11)=2, EXP((D11-C11)/-(Parameters!$B$9*Parameters!$B$6)), 0)</f>
        <v>0</v>
      </c>
      <c r="D22" s="171">
        <f>IF(COUNT(D11,E11)=2, EXP((E11-D11)/-(Parameters!$B$9*Parameters!$B$6)), 0)</f>
        <v>0</v>
      </c>
      <c r="E22" s="171">
        <f>IF(COUNT(E11,F11)=2, EXP((F11-E11)/-(Parameters!$B$9*Parameters!$B$6)), 0)</f>
        <v>0</v>
      </c>
      <c r="F22" s="71"/>
      <c r="I22" s="262"/>
    </row>
    <row r="23" spans="1:9" ht="28.2" customHeight="1" thickBot="1" x14ac:dyDescent="0.3">
      <c r="A23" s="264" t="s">
        <v>236</v>
      </c>
      <c r="B23" s="265"/>
      <c r="C23" s="265"/>
      <c r="D23" s="265"/>
      <c r="E23" s="265"/>
      <c r="F23" s="266"/>
    </row>
    <row r="24" spans="1:9" ht="13.2" x14ac:dyDescent="0.25">
      <c r="A24" s="76" t="s">
        <v>74</v>
      </c>
      <c r="B24" s="173" t="s">
        <v>93</v>
      </c>
      <c r="C24" s="173">
        <v>1</v>
      </c>
      <c r="D24" s="173">
        <v>0</v>
      </c>
      <c r="E24" s="173" t="s">
        <v>93</v>
      </c>
      <c r="F24" s="173" t="s">
        <v>93</v>
      </c>
      <c r="I24" s="262" t="s">
        <v>251</v>
      </c>
    </row>
    <row r="25" spans="1:9" ht="13.2" x14ac:dyDescent="0.25">
      <c r="A25" s="77" t="s">
        <v>75</v>
      </c>
      <c r="B25" s="173" t="s">
        <v>93</v>
      </c>
      <c r="C25" s="173">
        <v>0</v>
      </c>
      <c r="D25" s="173">
        <v>-1</v>
      </c>
      <c r="E25" s="173" t="s">
        <v>93</v>
      </c>
      <c r="F25" s="173" t="s">
        <v>93</v>
      </c>
      <c r="I25" s="262"/>
    </row>
    <row r="26" spans="1:9" ht="13.2" x14ac:dyDescent="0.25">
      <c r="A26" s="77" t="s">
        <v>80</v>
      </c>
      <c r="B26" s="173" t="s">
        <v>93</v>
      </c>
      <c r="C26" s="173">
        <v>0</v>
      </c>
      <c r="D26" s="173">
        <v>-1</v>
      </c>
      <c r="E26" s="173" t="s">
        <v>93</v>
      </c>
      <c r="F26" s="173" t="s">
        <v>93</v>
      </c>
      <c r="I26" s="262"/>
    </row>
    <row r="27" spans="1:9" ht="13.2" x14ac:dyDescent="0.25">
      <c r="A27" s="77" t="s">
        <v>81</v>
      </c>
      <c r="B27" s="173" t="s">
        <v>93</v>
      </c>
      <c r="C27" s="173">
        <v>0</v>
      </c>
      <c r="D27" s="173" t="s">
        <v>93</v>
      </c>
      <c r="E27" s="173" t="s">
        <v>93</v>
      </c>
      <c r="F27" s="173" t="s">
        <v>93</v>
      </c>
      <c r="I27" s="262"/>
    </row>
    <row r="28" spans="1:9" ht="13.2" x14ac:dyDescent="0.25">
      <c r="A28" s="77" t="s">
        <v>82</v>
      </c>
      <c r="B28" s="173">
        <v>0</v>
      </c>
      <c r="C28" s="173">
        <v>0</v>
      </c>
      <c r="D28" s="173">
        <v>-1</v>
      </c>
      <c r="E28" s="173">
        <v>-2</v>
      </c>
      <c r="F28" s="173" t="s">
        <v>93</v>
      </c>
      <c r="I28" s="262"/>
    </row>
    <row r="29" spans="1:9" ht="13.2" x14ac:dyDescent="0.25">
      <c r="A29" s="108" t="s">
        <v>83</v>
      </c>
      <c r="B29" s="185" t="s">
        <v>93</v>
      </c>
      <c r="C29" s="186">
        <v>0</v>
      </c>
      <c r="D29" s="186">
        <v>-1</v>
      </c>
      <c r="E29" s="186">
        <v>-2</v>
      </c>
      <c r="F29" s="186" t="s">
        <v>93</v>
      </c>
      <c r="I29" s="262"/>
    </row>
    <row r="30" spans="1:9" ht="13.2" x14ac:dyDescent="0.25">
      <c r="A30" s="149" t="s">
        <v>84</v>
      </c>
      <c r="B30" s="189" t="s">
        <v>93</v>
      </c>
      <c r="C30" s="190">
        <v>1</v>
      </c>
      <c r="D30" s="190" t="s">
        <v>93</v>
      </c>
      <c r="E30" s="190" t="s">
        <v>93</v>
      </c>
      <c r="F30" s="190" t="s">
        <v>93</v>
      </c>
      <c r="I30" s="262"/>
    </row>
    <row r="31" spans="1:9" ht="13.2" x14ac:dyDescent="0.25">
      <c r="A31" s="149" t="s">
        <v>85</v>
      </c>
      <c r="B31" s="187" t="s">
        <v>93</v>
      </c>
      <c r="C31" s="188">
        <v>0</v>
      </c>
      <c r="D31" s="188" t="s">
        <v>93</v>
      </c>
      <c r="E31" s="188" t="s">
        <v>93</v>
      </c>
      <c r="F31" s="188" t="s">
        <v>93</v>
      </c>
      <c r="I31" s="262"/>
    </row>
    <row r="32" spans="1:9" ht="13.2" x14ac:dyDescent="0.25">
      <c r="A32" s="158" t="s">
        <v>86</v>
      </c>
      <c r="B32" s="184" t="s">
        <v>93</v>
      </c>
      <c r="C32" s="184">
        <v>0</v>
      </c>
      <c r="D32" s="184">
        <v>-1</v>
      </c>
      <c r="E32" s="184" t="s">
        <v>93</v>
      </c>
      <c r="F32" s="184" t="s">
        <v>93</v>
      </c>
      <c r="I32" s="262"/>
    </row>
    <row r="33" spans="1:9" thickBot="1" x14ac:dyDescent="0.3">
      <c r="A33" s="159" t="s">
        <v>18</v>
      </c>
      <c r="B33" s="173" t="s">
        <v>93</v>
      </c>
      <c r="C33" s="173">
        <v>1</v>
      </c>
      <c r="D33" s="173" t="s">
        <v>93</v>
      </c>
      <c r="E33" s="173" t="s">
        <v>93</v>
      </c>
      <c r="F33" s="173" t="s">
        <v>93</v>
      </c>
      <c r="I33" s="262"/>
    </row>
  </sheetData>
  <mergeCells count="4">
    <mergeCell ref="A23:F23"/>
    <mergeCell ref="I2:I11"/>
    <mergeCell ref="I13:I22"/>
    <mergeCell ref="I24:I33"/>
  </mergeCells>
  <conditionalFormatting sqref="B2:F11 B24:F33 B13:E17 B19:E22 B18 D18:E18">
    <cfRule type="containsText" dxfId="68" priority="54" operator="containsText" text="NA">
      <formula>NOT(ISERROR(SEARCH("NA",B2)))</formula>
    </cfRule>
    <cfRule type="containsText" dxfId="67" priority="55" operator="containsText" text="Inf">
      <formula>NOT(ISERROR(SEARCH("Inf",B2)))</formula>
    </cfRule>
  </conditionalFormatting>
  <conditionalFormatting sqref="B13:E17 B19:E22 B18 D18:E18">
    <cfRule type="cellIs" dxfId="66"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sheetPr codeName="Sheet12"/>
  <dimension ref="A1:F7"/>
  <sheetViews>
    <sheetView workbookViewId="0">
      <selection activeCell="B4" sqref="B4"/>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95" customHeight="1" thickBot="1" x14ac:dyDescent="0.3">
      <c r="A1" s="64"/>
      <c r="B1" s="154" t="s">
        <v>74</v>
      </c>
      <c r="C1" s="154" t="s">
        <v>75</v>
      </c>
      <c r="D1" s="154" t="s">
        <v>80</v>
      </c>
      <c r="E1" s="154" t="s">
        <v>81</v>
      </c>
      <c r="F1" s="254" t="s">
        <v>247</v>
      </c>
    </row>
    <row r="2" spans="1:6" ht="13.2" customHeight="1" x14ac:dyDescent="0.25">
      <c r="A2" s="76" t="s">
        <v>73</v>
      </c>
      <c r="B2" s="155">
        <f>0.04*10^(-6)</f>
        <v>4.0000000000000001E-8</v>
      </c>
      <c r="C2" s="155">
        <v>0</v>
      </c>
      <c r="D2" s="155">
        <v>0</v>
      </c>
      <c r="E2" s="155">
        <f>2.6*10^(-6)</f>
        <v>2.6000000000000001E-6</v>
      </c>
      <c r="F2" s="254"/>
    </row>
    <row r="3" spans="1:6" ht="13.2" customHeight="1" x14ac:dyDescent="0.25">
      <c r="A3" s="77" t="s">
        <v>273</v>
      </c>
      <c r="B3" s="155">
        <v>0</v>
      </c>
      <c r="C3" s="155">
        <f>12.5*10^(-6)</f>
        <v>1.2499999999999999E-5</v>
      </c>
      <c r="D3" s="155">
        <v>0</v>
      </c>
      <c r="E3" s="155">
        <f>2.6*10^(-6)</f>
        <v>2.6000000000000001E-6</v>
      </c>
      <c r="F3" s="254"/>
    </row>
    <row r="4" spans="1:6" ht="13.2" customHeight="1" x14ac:dyDescent="0.25">
      <c r="A4" s="77" t="s">
        <v>76</v>
      </c>
      <c r="B4" s="155">
        <f>0.06*10^(-6)</f>
        <v>5.9999999999999995E-8</v>
      </c>
      <c r="C4" s="155">
        <f>1*10^(-6)</f>
        <v>9.9999999999999995E-7</v>
      </c>
      <c r="D4" s="155">
        <v>0</v>
      </c>
      <c r="E4" s="155">
        <v>0</v>
      </c>
      <c r="F4" s="254"/>
    </row>
    <row r="5" spans="1:6" ht="13.2" customHeight="1" x14ac:dyDescent="0.25">
      <c r="A5" s="77" t="s">
        <v>119</v>
      </c>
      <c r="B5" s="155">
        <f>0.04*10^(-6)</f>
        <v>4.0000000000000001E-8</v>
      </c>
      <c r="C5" s="155">
        <v>0</v>
      </c>
      <c r="D5" s="155">
        <v>0</v>
      </c>
      <c r="E5" s="155">
        <f t="shared" ref="E5:E6" si="0">2.6*10^(-6)</f>
        <v>2.6000000000000001E-6</v>
      </c>
      <c r="F5" s="254"/>
    </row>
    <row r="6" spans="1:6" ht="13.95" customHeight="1" x14ac:dyDescent="0.25">
      <c r="A6" s="77" t="s">
        <v>120</v>
      </c>
      <c r="B6" s="155">
        <f>0.04*10^(-6)</f>
        <v>4.0000000000000001E-8</v>
      </c>
      <c r="C6" s="155">
        <v>0</v>
      </c>
      <c r="D6" s="155">
        <f>12.5*10^(-6)</f>
        <v>1.2499999999999999E-5</v>
      </c>
      <c r="E6" s="155">
        <f t="shared" si="0"/>
        <v>2.6000000000000001E-6</v>
      </c>
      <c r="F6" s="254"/>
    </row>
    <row r="7" spans="1:6" ht="13.8" thickBot="1" x14ac:dyDescent="0.3">
      <c r="A7" s="89" t="s">
        <v>289</v>
      </c>
      <c r="B7" s="155">
        <f>0.04*10^(-6)</f>
        <v>4.0000000000000001E-8</v>
      </c>
      <c r="C7" s="155">
        <f>12.5*10^(-6)</f>
        <v>1.2499999999999999E-5</v>
      </c>
      <c r="D7" s="155">
        <v>0</v>
      </c>
      <c r="E7" s="155">
        <v>0</v>
      </c>
      <c r="F7" s="254"/>
    </row>
  </sheetData>
  <mergeCells count="1">
    <mergeCell ref="F1:F7"/>
  </mergeCells>
  <phoneticPr fontId="40" type="noConversion"/>
  <conditionalFormatting sqref="B6:C6 B2:E4 B5:D5">
    <cfRule type="cellIs" dxfId="65" priority="6" operator="equal">
      <formula>0</formula>
    </cfRule>
  </conditionalFormatting>
  <conditionalFormatting sqref="D7:E7">
    <cfRule type="cellIs" dxfId="64" priority="5" operator="equal">
      <formula>0</formula>
    </cfRule>
  </conditionalFormatting>
  <conditionalFormatting sqref="B7">
    <cfRule type="cellIs" dxfId="3" priority="4" operator="equal">
      <formula>0</formula>
    </cfRule>
  </conditionalFormatting>
  <conditionalFormatting sqref="C7">
    <cfRule type="cellIs" dxfId="2" priority="3" operator="equal">
      <formula>0</formula>
    </cfRule>
  </conditionalFormatting>
  <conditionalFormatting sqref="D6">
    <cfRule type="cellIs" dxfId="1" priority="2" operator="equal">
      <formula>0</formula>
    </cfRule>
  </conditionalFormatting>
  <conditionalFormatting sqref="E5:E6">
    <cfRule type="cellIs" dxfId="0" priority="1" operator="equal">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sheetPr codeName="Sheet13"/>
  <dimension ref="A1:E7"/>
  <sheetViews>
    <sheetView workbookViewId="0">
      <selection activeCell="D4" sqref="D4"/>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4" t="s">
        <v>74</v>
      </c>
      <c r="C1" s="154" t="s">
        <v>75</v>
      </c>
      <c r="D1" s="154" t="s">
        <v>81</v>
      </c>
      <c r="E1" s="254" t="s">
        <v>246</v>
      </c>
    </row>
    <row r="2" spans="1:5" ht="13.2" customHeight="1" x14ac:dyDescent="0.25">
      <c r="A2" s="76" t="s">
        <v>73</v>
      </c>
      <c r="B2" s="155">
        <v>0</v>
      </c>
      <c r="C2" s="155">
        <v>0</v>
      </c>
      <c r="D2" s="155">
        <v>0</v>
      </c>
      <c r="E2" s="254"/>
    </row>
    <row r="3" spans="1:5" ht="13.2" customHeight="1" x14ac:dyDescent="0.25">
      <c r="A3" s="77" t="s">
        <v>273</v>
      </c>
      <c r="B3" s="155">
        <v>0</v>
      </c>
      <c r="C3" s="155">
        <v>0</v>
      </c>
      <c r="D3" s="155">
        <v>0</v>
      </c>
      <c r="E3" s="254"/>
    </row>
    <row r="4" spans="1:5" ht="13.2" customHeight="1" x14ac:dyDescent="0.25">
      <c r="A4" s="77" t="s">
        <v>76</v>
      </c>
      <c r="B4" s="155">
        <v>0</v>
      </c>
      <c r="C4" s="155">
        <v>0</v>
      </c>
      <c r="D4" s="155">
        <f>0.01*(1/32)*(1/1000)</f>
        <v>3.1250000000000003E-7</v>
      </c>
      <c r="E4" s="254"/>
    </row>
    <row r="5" spans="1:5" ht="13.2" customHeight="1" x14ac:dyDescent="0.25">
      <c r="A5" s="77" t="s">
        <v>119</v>
      </c>
      <c r="B5" s="155">
        <v>0</v>
      </c>
      <c r="C5" s="155">
        <v>0</v>
      </c>
      <c r="D5" s="155">
        <v>0</v>
      </c>
      <c r="E5" s="254"/>
    </row>
    <row r="6" spans="1:5" ht="13.95" customHeight="1" x14ac:dyDescent="0.25">
      <c r="A6" s="77" t="s">
        <v>120</v>
      </c>
      <c r="B6" s="155">
        <v>0</v>
      </c>
      <c r="C6" s="155">
        <v>0</v>
      </c>
      <c r="D6" s="155">
        <v>0</v>
      </c>
      <c r="E6" s="254"/>
    </row>
    <row r="7" spans="1:5" ht="13.8" thickBot="1" x14ac:dyDescent="0.3">
      <c r="A7" s="89" t="s">
        <v>289</v>
      </c>
      <c r="B7" s="155">
        <v>0</v>
      </c>
      <c r="C7" s="155">
        <v>0</v>
      </c>
      <c r="D7" s="155">
        <v>0</v>
      </c>
      <c r="E7" s="254"/>
    </row>
  </sheetData>
  <mergeCells count="1">
    <mergeCell ref="E1:E7"/>
  </mergeCells>
  <conditionalFormatting sqref="B2:D6">
    <cfRule type="cellIs" dxfId="63" priority="2" operator="equal">
      <formula>0</formula>
    </cfRule>
  </conditionalFormatting>
  <conditionalFormatting sqref="B7:D7">
    <cfRule type="cellIs" dxfId="62"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sheetPr codeName="Sheet14"/>
  <dimension ref="A1:F7"/>
  <sheetViews>
    <sheetView workbookViewId="0">
      <selection activeCell="B8" sqref="B8"/>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73.44140625" customWidth="1"/>
  </cols>
  <sheetData>
    <row r="1" spans="1:6" ht="13.8" thickBot="1" x14ac:dyDescent="0.3">
      <c r="B1" s="154" t="s">
        <v>274</v>
      </c>
      <c r="C1" s="154" t="s">
        <v>72</v>
      </c>
      <c r="D1" s="154" t="s">
        <v>244</v>
      </c>
      <c r="E1" s="154" t="s">
        <v>245</v>
      </c>
    </row>
    <row r="2" spans="1:6" ht="13.2" customHeight="1" x14ac:dyDescent="0.25">
      <c r="A2" s="76" t="s">
        <v>73</v>
      </c>
      <c r="B2" s="155">
        <f>0.0415</f>
        <v>4.1500000000000002E-2</v>
      </c>
      <c r="C2" s="156" t="s">
        <v>74</v>
      </c>
      <c r="D2" s="157">
        <f>10%*E2</f>
        <v>2E-3</v>
      </c>
      <c r="E2" s="241">
        <v>0.02</v>
      </c>
      <c r="F2" s="262" t="s">
        <v>272</v>
      </c>
    </row>
    <row r="3" spans="1:6" ht="13.2" customHeight="1" x14ac:dyDescent="0.25">
      <c r="A3" s="77" t="s">
        <v>273</v>
      </c>
      <c r="B3" s="155">
        <v>2.07E-2</v>
      </c>
      <c r="C3" s="156" t="s">
        <v>75</v>
      </c>
      <c r="D3" s="157">
        <f t="shared" ref="D3:D7" si="0">10%*E3</f>
        <v>2E-3</v>
      </c>
      <c r="E3" s="242">
        <v>0.02</v>
      </c>
      <c r="F3" s="262"/>
    </row>
    <row r="4" spans="1:6" ht="13.2" customHeight="1" x14ac:dyDescent="0.25">
      <c r="A4" s="77" t="s">
        <v>76</v>
      </c>
      <c r="B4" s="155">
        <v>5.1499999999999997E-2</v>
      </c>
      <c r="C4" s="156" t="s">
        <v>74</v>
      </c>
      <c r="D4" s="157">
        <f t="shared" si="0"/>
        <v>5.0000000000000001E-4</v>
      </c>
      <c r="E4" s="242">
        <v>5.0000000000000001E-3</v>
      </c>
      <c r="F4" s="262"/>
    </row>
    <row r="5" spans="1:6" ht="13.2" customHeight="1" x14ac:dyDescent="0.25">
      <c r="A5" s="77" t="s">
        <v>119</v>
      </c>
      <c r="B5" s="155">
        <v>6.2199999999999998E-2</v>
      </c>
      <c r="C5" s="155" t="s">
        <v>74</v>
      </c>
      <c r="D5" s="157">
        <f t="shared" si="0"/>
        <v>5.0000000000000001E-4</v>
      </c>
      <c r="E5" s="242">
        <v>5.0000000000000001E-3</v>
      </c>
      <c r="F5" s="262"/>
    </row>
    <row r="6" spans="1:6" ht="13.95" customHeight="1" x14ac:dyDescent="0.25">
      <c r="A6" s="77" t="s">
        <v>120</v>
      </c>
      <c r="B6" s="155">
        <v>1.7399999999999999E-2</v>
      </c>
      <c r="C6" s="155" t="s">
        <v>80</v>
      </c>
      <c r="D6" s="157">
        <f t="shared" si="0"/>
        <v>5.0000000000000001E-4</v>
      </c>
      <c r="E6" s="242">
        <v>5.0000000000000001E-3</v>
      </c>
      <c r="F6" s="262"/>
    </row>
    <row r="7" spans="1:6" ht="13.8" thickBot="1" x14ac:dyDescent="0.3">
      <c r="A7" s="89" t="s">
        <v>289</v>
      </c>
      <c r="B7" s="155">
        <v>1.4800000000000001E-2</v>
      </c>
      <c r="C7" s="156" t="s">
        <v>74</v>
      </c>
      <c r="D7" s="157">
        <f t="shared" si="0"/>
        <v>5.0000000000000001E-4</v>
      </c>
      <c r="E7" s="242">
        <v>5.0000000000000001E-3</v>
      </c>
      <c r="F7" s="262"/>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dimension ref="A1:S12"/>
  <sheetViews>
    <sheetView zoomScaleNormal="100" workbookViewId="0">
      <pane xSplit="1" ySplit="2" topLeftCell="B3" activePane="bottomRight" state="frozen"/>
      <selection activeCell="L38" sqref="L38"/>
      <selection pane="topRight" activeCell="L38" sqref="L38"/>
      <selection pane="bottomLeft" activeCell="L38" sqref="L38"/>
      <selection pane="bottomRight" activeCell="F21" sqref="F21"/>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9" x14ac:dyDescent="0.25">
      <c r="A1" s="69"/>
      <c r="B1" s="269" t="s">
        <v>73</v>
      </c>
      <c r="C1" s="267"/>
      <c r="D1" s="268"/>
      <c r="E1" s="269" t="s">
        <v>273</v>
      </c>
      <c r="F1" s="267"/>
      <c r="G1" s="268"/>
      <c r="H1" s="267" t="s">
        <v>76</v>
      </c>
      <c r="I1" s="267"/>
      <c r="J1" s="268"/>
      <c r="K1" s="267" t="s">
        <v>119</v>
      </c>
      <c r="L1" s="267"/>
      <c r="M1" s="268"/>
      <c r="N1" s="267" t="s">
        <v>120</v>
      </c>
      <c r="O1" s="267"/>
      <c r="P1" s="268"/>
      <c r="Q1" s="267" t="s">
        <v>289</v>
      </c>
      <c r="R1" s="267"/>
      <c r="S1" s="268"/>
    </row>
    <row r="2" spans="1:19" ht="13.8" thickBot="1" x14ac:dyDescent="0.3">
      <c r="A2" s="69"/>
      <c r="B2" s="198" t="s">
        <v>77</v>
      </c>
      <c r="C2" s="199" t="s">
        <v>78</v>
      </c>
      <c r="D2" s="200" t="s">
        <v>79</v>
      </c>
      <c r="E2" s="198" t="s">
        <v>77</v>
      </c>
      <c r="F2" s="199" t="s">
        <v>78</v>
      </c>
      <c r="G2" s="200" t="s">
        <v>79</v>
      </c>
      <c r="H2" s="199" t="s">
        <v>77</v>
      </c>
      <c r="I2" s="199" t="s">
        <v>78</v>
      </c>
      <c r="J2" s="200" t="s">
        <v>79</v>
      </c>
      <c r="K2" s="199" t="s">
        <v>77</v>
      </c>
      <c r="L2" s="199" t="s">
        <v>78</v>
      </c>
      <c r="M2" s="200" t="s">
        <v>79</v>
      </c>
      <c r="N2" s="199" t="s">
        <v>77</v>
      </c>
      <c r="O2" s="199" t="s">
        <v>78</v>
      </c>
      <c r="P2" s="200" t="s">
        <v>79</v>
      </c>
      <c r="Q2" s="199" t="s">
        <v>77</v>
      </c>
      <c r="R2" s="199" t="s">
        <v>78</v>
      </c>
      <c r="S2" s="200" t="s">
        <v>79</v>
      </c>
    </row>
    <row r="3" spans="1:19" x14ac:dyDescent="0.25">
      <c r="A3" s="76" t="s">
        <v>74</v>
      </c>
      <c r="B3" s="204">
        <v>-1</v>
      </c>
      <c r="C3" s="105">
        <v>0</v>
      </c>
      <c r="D3" s="205">
        <v>0</v>
      </c>
      <c r="E3" s="204">
        <v>0</v>
      </c>
      <c r="F3" s="105">
        <v>0</v>
      </c>
      <c r="G3" s="205">
        <v>0</v>
      </c>
      <c r="H3" s="204">
        <v>-1</v>
      </c>
      <c r="I3" s="105">
        <v>0</v>
      </c>
      <c r="J3" s="205">
        <v>0</v>
      </c>
      <c r="K3" s="204">
        <v>-1</v>
      </c>
      <c r="L3" s="105">
        <v>0</v>
      </c>
      <c r="M3" s="205">
        <v>0</v>
      </c>
      <c r="N3" s="204">
        <v>-1</v>
      </c>
      <c r="O3" s="105">
        <v>0</v>
      </c>
      <c r="P3" s="205">
        <v>0</v>
      </c>
      <c r="Q3" s="204">
        <v>-1</v>
      </c>
      <c r="R3" s="105">
        <v>0</v>
      </c>
      <c r="S3" s="205">
        <v>0</v>
      </c>
    </row>
    <row r="4" spans="1:19" x14ac:dyDescent="0.25">
      <c r="A4" s="77" t="s">
        <v>75</v>
      </c>
      <c r="B4" s="206">
        <v>1</v>
      </c>
      <c r="C4" s="207">
        <v>0</v>
      </c>
      <c r="D4" s="208">
        <v>0</v>
      </c>
      <c r="E4" s="206">
        <v>-1</v>
      </c>
      <c r="F4" s="207">
        <v>0</v>
      </c>
      <c r="G4" s="208">
        <v>0</v>
      </c>
      <c r="H4" s="206">
        <v>-1</v>
      </c>
      <c r="I4" s="207">
        <v>0</v>
      </c>
      <c r="J4" s="208">
        <v>0</v>
      </c>
      <c r="K4" s="206">
        <v>0</v>
      </c>
      <c r="L4" s="207">
        <v>0</v>
      </c>
      <c r="M4" s="208">
        <v>0</v>
      </c>
      <c r="N4" s="206">
        <v>2</v>
      </c>
      <c r="O4" s="207">
        <v>0</v>
      </c>
      <c r="P4" s="208">
        <v>0</v>
      </c>
      <c r="Q4" s="206">
        <v>-1</v>
      </c>
      <c r="R4" s="207">
        <v>0</v>
      </c>
      <c r="S4" s="208">
        <v>0</v>
      </c>
    </row>
    <row r="5" spans="1:19" x14ac:dyDescent="0.25">
      <c r="A5" s="77" t="s">
        <v>80</v>
      </c>
      <c r="B5" s="206">
        <v>0</v>
      </c>
      <c r="C5" s="207">
        <v>0</v>
      </c>
      <c r="D5" s="208">
        <v>0</v>
      </c>
      <c r="E5" s="206">
        <v>1</v>
      </c>
      <c r="F5" s="207">
        <v>0</v>
      </c>
      <c r="G5" s="208">
        <v>0</v>
      </c>
      <c r="H5" s="206">
        <v>0</v>
      </c>
      <c r="I5" s="207">
        <v>0</v>
      </c>
      <c r="J5" s="208">
        <v>0</v>
      </c>
      <c r="K5" s="206">
        <v>1</v>
      </c>
      <c r="L5" s="207">
        <v>0</v>
      </c>
      <c r="M5" s="208">
        <v>0</v>
      </c>
      <c r="N5" s="206">
        <v>-1</v>
      </c>
      <c r="O5" s="207">
        <v>0</v>
      </c>
      <c r="P5" s="208">
        <v>0</v>
      </c>
      <c r="Q5" s="206">
        <v>0</v>
      </c>
      <c r="R5" s="207">
        <v>0</v>
      </c>
      <c r="S5" s="208">
        <v>0</v>
      </c>
    </row>
    <row r="6" spans="1:19" x14ac:dyDescent="0.25">
      <c r="A6" s="77" t="s">
        <v>81</v>
      </c>
      <c r="B6" s="206">
        <v>-1.5</v>
      </c>
      <c r="C6" s="207">
        <v>0</v>
      </c>
      <c r="D6" s="208">
        <v>0</v>
      </c>
      <c r="E6" s="206">
        <v>-0.5</v>
      </c>
      <c r="F6" s="207">
        <v>0</v>
      </c>
      <c r="G6" s="208">
        <v>0</v>
      </c>
      <c r="H6" s="206">
        <v>0</v>
      </c>
      <c r="I6" s="207">
        <v>0</v>
      </c>
      <c r="J6" s="208">
        <v>0</v>
      </c>
      <c r="K6" s="206">
        <v>-2</v>
      </c>
      <c r="L6" s="207">
        <v>0</v>
      </c>
      <c r="M6" s="208">
        <v>0</v>
      </c>
      <c r="N6" s="206">
        <v>-1</v>
      </c>
      <c r="O6" s="207">
        <v>0</v>
      </c>
      <c r="P6" s="208">
        <v>0</v>
      </c>
      <c r="Q6" s="206">
        <v>0</v>
      </c>
      <c r="R6" s="207">
        <v>0</v>
      </c>
      <c r="S6" s="208">
        <v>0</v>
      </c>
    </row>
    <row r="7" spans="1:19" s="63" customFormat="1" x14ac:dyDescent="0.25">
      <c r="A7" s="77" t="s">
        <v>82</v>
      </c>
      <c r="B7" s="206">
        <v>0</v>
      </c>
      <c r="C7" s="207">
        <v>-1</v>
      </c>
      <c r="D7" s="208">
        <v>1</v>
      </c>
      <c r="E7" s="206">
        <v>0</v>
      </c>
      <c r="F7" s="207">
        <v>-1</v>
      </c>
      <c r="G7" s="208">
        <v>1</v>
      </c>
      <c r="H7" s="206">
        <v>0</v>
      </c>
      <c r="I7" s="207">
        <v>-1</v>
      </c>
      <c r="J7" s="208">
        <v>1</v>
      </c>
      <c r="K7" s="206">
        <v>0</v>
      </c>
      <c r="L7" s="207">
        <v>-1</v>
      </c>
      <c r="M7" s="208">
        <v>1</v>
      </c>
      <c r="N7" s="206">
        <v>0</v>
      </c>
      <c r="O7" s="207">
        <v>-1</v>
      </c>
      <c r="P7" s="208">
        <v>1</v>
      </c>
      <c r="Q7" s="206">
        <v>0</v>
      </c>
      <c r="R7" s="207">
        <v>-1</v>
      </c>
      <c r="S7" s="208">
        <v>1</v>
      </c>
    </row>
    <row r="8" spans="1:19" s="63" customFormat="1" x14ac:dyDescent="0.25">
      <c r="A8" s="77" t="s">
        <v>83</v>
      </c>
      <c r="B8" s="209">
        <v>0</v>
      </c>
      <c r="C8" s="201">
        <v>0</v>
      </c>
      <c r="D8" s="210">
        <v>0</v>
      </c>
      <c r="E8" s="209">
        <v>0</v>
      </c>
      <c r="F8" s="201">
        <v>0</v>
      </c>
      <c r="G8" s="210">
        <v>0</v>
      </c>
      <c r="H8" s="209">
        <v>0</v>
      </c>
      <c r="I8" s="201">
        <v>0</v>
      </c>
      <c r="J8" s="210">
        <v>0</v>
      </c>
      <c r="K8" s="209">
        <v>0</v>
      </c>
      <c r="L8" s="201">
        <v>0</v>
      </c>
      <c r="M8" s="210">
        <v>0</v>
      </c>
      <c r="N8" s="209">
        <v>0</v>
      </c>
      <c r="O8" s="201">
        <v>0</v>
      </c>
      <c r="P8" s="210">
        <v>0</v>
      </c>
      <c r="Q8" s="209">
        <v>0</v>
      </c>
      <c r="R8" s="201">
        <v>0</v>
      </c>
      <c r="S8" s="210">
        <v>0</v>
      </c>
    </row>
    <row r="9" spans="1:19" x14ac:dyDescent="0.25">
      <c r="A9" s="149" t="s">
        <v>84</v>
      </c>
      <c r="B9" s="202">
        <v>0</v>
      </c>
      <c r="C9" s="203">
        <v>0</v>
      </c>
      <c r="D9" s="211">
        <v>0</v>
      </c>
      <c r="E9" s="202">
        <v>0</v>
      </c>
      <c r="F9" s="203">
        <v>0</v>
      </c>
      <c r="G9" s="211">
        <v>0</v>
      </c>
      <c r="H9" s="202">
        <v>0</v>
      </c>
      <c r="I9" s="203">
        <v>0</v>
      </c>
      <c r="J9" s="211">
        <v>0</v>
      </c>
      <c r="K9" s="202">
        <v>0</v>
      </c>
      <c r="L9" s="203">
        <v>0</v>
      </c>
      <c r="M9" s="211">
        <v>0</v>
      </c>
      <c r="N9" s="202">
        <v>0</v>
      </c>
      <c r="O9" s="203">
        <v>0</v>
      </c>
      <c r="P9" s="211">
        <v>0</v>
      </c>
      <c r="Q9" s="202">
        <v>0</v>
      </c>
      <c r="R9" s="203">
        <v>0</v>
      </c>
      <c r="S9" s="211">
        <v>0</v>
      </c>
    </row>
    <row r="10" spans="1:19" x14ac:dyDescent="0.25">
      <c r="A10" s="149" t="s">
        <v>85</v>
      </c>
      <c r="B10" s="202">
        <v>0</v>
      </c>
      <c r="C10" s="203">
        <v>0</v>
      </c>
      <c r="D10" s="211">
        <v>0</v>
      </c>
      <c r="E10" s="202">
        <v>0</v>
      </c>
      <c r="F10" s="203">
        <v>0</v>
      </c>
      <c r="G10" s="211">
        <v>0</v>
      </c>
      <c r="H10" s="202">
        <v>1</v>
      </c>
      <c r="I10" s="203">
        <v>0</v>
      </c>
      <c r="J10" s="211">
        <v>0</v>
      </c>
      <c r="K10" s="202">
        <v>0</v>
      </c>
      <c r="L10" s="203">
        <v>0</v>
      </c>
      <c r="M10" s="211">
        <v>0</v>
      </c>
      <c r="N10" s="202">
        <v>0</v>
      </c>
      <c r="O10" s="203">
        <v>0</v>
      </c>
      <c r="P10" s="211">
        <v>0</v>
      </c>
      <c r="Q10" s="202">
        <v>1</v>
      </c>
      <c r="R10" s="203">
        <v>0</v>
      </c>
      <c r="S10" s="211">
        <v>0</v>
      </c>
    </row>
    <row r="11" spans="1:19" x14ac:dyDescent="0.25">
      <c r="A11" s="197" t="s">
        <v>86</v>
      </c>
      <c r="B11" s="212">
        <v>1</v>
      </c>
      <c r="C11" s="102">
        <v>0</v>
      </c>
      <c r="D11" s="213">
        <v>0</v>
      </c>
      <c r="E11" s="212">
        <v>0</v>
      </c>
      <c r="F11" s="102">
        <v>0</v>
      </c>
      <c r="G11" s="213">
        <v>0</v>
      </c>
      <c r="H11" s="212">
        <v>2</v>
      </c>
      <c r="I11" s="102">
        <v>0</v>
      </c>
      <c r="J11" s="213">
        <v>0</v>
      </c>
      <c r="K11" s="212">
        <v>1</v>
      </c>
      <c r="L11" s="102">
        <v>0</v>
      </c>
      <c r="M11" s="213">
        <v>0</v>
      </c>
      <c r="N11" s="212">
        <v>1</v>
      </c>
      <c r="O11" s="102">
        <v>0</v>
      </c>
      <c r="P11" s="213">
        <v>0</v>
      </c>
      <c r="Q11" s="212">
        <v>2</v>
      </c>
      <c r="R11" s="102">
        <v>0</v>
      </c>
      <c r="S11" s="213">
        <v>0</v>
      </c>
    </row>
    <row r="12" spans="1:19" ht="13.8" thickBot="1" x14ac:dyDescent="0.3">
      <c r="A12" s="159" t="s">
        <v>18</v>
      </c>
      <c r="B12" s="100">
        <v>1</v>
      </c>
      <c r="C12" s="214">
        <v>0</v>
      </c>
      <c r="D12" s="215">
        <v>0</v>
      </c>
      <c r="E12" s="100">
        <v>0</v>
      </c>
      <c r="F12" s="214">
        <v>0</v>
      </c>
      <c r="G12" s="215">
        <v>0</v>
      </c>
      <c r="H12" s="100">
        <v>0</v>
      </c>
      <c r="I12" s="214">
        <v>0</v>
      </c>
      <c r="J12" s="215">
        <v>0</v>
      </c>
      <c r="K12" s="100">
        <v>2</v>
      </c>
      <c r="L12" s="214">
        <v>0</v>
      </c>
      <c r="M12" s="215">
        <v>0</v>
      </c>
      <c r="N12" s="100">
        <v>2</v>
      </c>
      <c r="O12" s="214">
        <v>0</v>
      </c>
      <c r="P12" s="215">
        <v>0</v>
      </c>
      <c r="Q12" s="100">
        <v>0</v>
      </c>
      <c r="R12" s="214">
        <v>0</v>
      </c>
      <c r="S12" s="215">
        <v>0</v>
      </c>
    </row>
  </sheetData>
  <mergeCells count="6">
    <mergeCell ref="Q1:S1"/>
    <mergeCell ref="N1:P1"/>
    <mergeCell ref="B1:D1"/>
    <mergeCell ref="E1:G1"/>
    <mergeCell ref="H1:J1"/>
    <mergeCell ref="K1:M1"/>
  </mergeCells>
  <conditionalFormatting sqref="B10:B12 E3:F7 E10:G12">
    <cfRule type="cellIs" dxfId="61" priority="105" operator="equal">
      <formula>0</formula>
    </cfRule>
  </conditionalFormatting>
  <conditionalFormatting sqref="G3">
    <cfRule type="cellIs" dxfId="60" priority="71" operator="equal">
      <formula>0</formula>
    </cfRule>
  </conditionalFormatting>
  <conditionalFormatting sqref="D10:D12">
    <cfRule type="cellIs" dxfId="59" priority="84" operator="equal">
      <formula>0</formula>
    </cfRule>
  </conditionalFormatting>
  <conditionalFormatting sqref="D9">
    <cfRule type="cellIs" dxfId="58" priority="67" operator="equal">
      <formula>0</formula>
    </cfRule>
  </conditionalFormatting>
  <conditionalFormatting sqref="B3:B7">
    <cfRule type="cellIs" dxfId="57" priority="78" operator="equal">
      <formula>0</formula>
    </cfRule>
  </conditionalFormatting>
  <conditionalFormatting sqref="D3">
    <cfRule type="cellIs" dxfId="56" priority="77" operator="equal">
      <formula>0</formula>
    </cfRule>
  </conditionalFormatting>
  <conditionalFormatting sqref="D4:D7">
    <cfRule type="cellIs" dxfId="55" priority="76" operator="equal">
      <formula>0</formula>
    </cfRule>
  </conditionalFormatting>
  <conditionalFormatting sqref="G4:G7">
    <cfRule type="cellIs" dxfId="54" priority="70" operator="equal">
      <formula>0</formula>
    </cfRule>
  </conditionalFormatting>
  <conditionalFormatting sqref="B9">
    <cfRule type="cellIs" dxfId="53" priority="69" operator="equal">
      <formula>0</formula>
    </cfRule>
  </conditionalFormatting>
  <conditionalFormatting sqref="E9">
    <cfRule type="cellIs" dxfId="52" priority="66" operator="equal">
      <formula>0</formula>
    </cfRule>
  </conditionalFormatting>
  <conditionalFormatting sqref="F9">
    <cfRule type="cellIs" dxfId="51" priority="65" operator="equal">
      <formula>0</formula>
    </cfRule>
  </conditionalFormatting>
  <conditionalFormatting sqref="G9">
    <cfRule type="cellIs" dxfId="50" priority="64" operator="equal">
      <formula>0</formula>
    </cfRule>
  </conditionalFormatting>
  <conditionalFormatting sqref="B8">
    <cfRule type="cellIs" dxfId="49" priority="63" operator="equal">
      <formula>0</formula>
    </cfRule>
  </conditionalFormatting>
  <conditionalFormatting sqref="D8">
    <cfRule type="cellIs" dxfId="48" priority="61" operator="equal">
      <formula>0</formula>
    </cfRule>
  </conditionalFormatting>
  <conditionalFormatting sqref="E8">
    <cfRule type="cellIs" dxfId="47" priority="60" operator="equal">
      <formula>0</formula>
    </cfRule>
  </conditionalFormatting>
  <conditionalFormatting sqref="F8">
    <cfRule type="cellIs" dxfId="46" priority="59" operator="equal">
      <formula>0</formula>
    </cfRule>
  </conditionalFormatting>
  <conditionalFormatting sqref="G8">
    <cfRule type="cellIs" dxfId="45" priority="58" operator="equal">
      <formula>0</formula>
    </cfRule>
  </conditionalFormatting>
  <conditionalFormatting sqref="I3:I7 H10:I12 K10:K12 N10:N12">
    <cfRule type="cellIs" dxfId="44" priority="45" operator="equal">
      <formula>0</formula>
    </cfRule>
  </conditionalFormatting>
  <conditionalFormatting sqref="J10:J12">
    <cfRule type="cellIs" dxfId="43" priority="44" operator="equal">
      <formula>0</formula>
    </cfRule>
  </conditionalFormatting>
  <conditionalFormatting sqref="J9">
    <cfRule type="cellIs" dxfId="42" priority="37" operator="equal">
      <formula>0</formula>
    </cfRule>
  </conditionalFormatting>
  <conditionalFormatting sqref="H3:H7 K3:K7 N3:N7">
    <cfRule type="cellIs" dxfId="41" priority="42" operator="equal">
      <formula>0</formula>
    </cfRule>
  </conditionalFormatting>
  <conditionalFormatting sqref="J3">
    <cfRule type="cellIs" dxfId="40" priority="41" operator="equal">
      <formula>0</formula>
    </cfRule>
  </conditionalFormatting>
  <conditionalFormatting sqref="J4:J7">
    <cfRule type="cellIs" dxfId="39" priority="40" operator="equal">
      <formula>0</formula>
    </cfRule>
  </conditionalFormatting>
  <conditionalFormatting sqref="H9 K9 N9">
    <cfRule type="cellIs" dxfId="38" priority="39" operator="equal">
      <formula>0</formula>
    </cfRule>
  </conditionalFormatting>
  <conditionalFormatting sqref="I9">
    <cfRule type="cellIs" dxfId="37" priority="38" operator="equal">
      <formula>0</formula>
    </cfRule>
  </conditionalFormatting>
  <conditionalFormatting sqref="H8 K8 N8">
    <cfRule type="cellIs" dxfId="36" priority="36" operator="equal">
      <formula>0</formula>
    </cfRule>
  </conditionalFormatting>
  <conditionalFormatting sqref="I8">
    <cfRule type="cellIs" dxfId="35" priority="35" operator="equal">
      <formula>0</formula>
    </cfRule>
  </conditionalFormatting>
  <conditionalFormatting sqref="J8">
    <cfRule type="cellIs" dxfId="34" priority="34" operator="equal">
      <formula>0</formula>
    </cfRule>
  </conditionalFormatting>
  <conditionalFormatting sqref="L3:L7 L10:L12">
    <cfRule type="cellIs" dxfId="33" priority="33" operator="equal">
      <formula>0</formula>
    </cfRule>
  </conditionalFormatting>
  <conditionalFormatting sqref="L9">
    <cfRule type="cellIs" dxfId="32" priority="32" operator="equal">
      <formula>0</formula>
    </cfRule>
  </conditionalFormatting>
  <conditionalFormatting sqref="L8">
    <cfRule type="cellIs" dxfId="31" priority="31" operator="equal">
      <formula>0</formula>
    </cfRule>
  </conditionalFormatting>
  <conditionalFormatting sqref="O3:O7 O10:O12">
    <cfRule type="cellIs" dxfId="30" priority="30" operator="equal">
      <formula>0</formula>
    </cfRule>
  </conditionalFormatting>
  <conditionalFormatting sqref="O9">
    <cfRule type="cellIs" dxfId="29" priority="29" operator="equal">
      <formula>0</formula>
    </cfRule>
  </conditionalFormatting>
  <conditionalFormatting sqref="O8">
    <cfRule type="cellIs" dxfId="28" priority="28" operator="equal">
      <formula>0</formula>
    </cfRule>
  </conditionalFormatting>
  <conditionalFormatting sqref="M10:M12">
    <cfRule type="cellIs" dxfId="27" priority="27" operator="equal">
      <formula>0</formula>
    </cfRule>
  </conditionalFormatting>
  <conditionalFormatting sqref="M9">
    <cfRule type="cellIs" dxfId="26" priority="24" operator="equal">
      <formula>0</formula>
    </cfRule>
  </conditionalFormatting>
  <conditionalFormatting sqref="M3">
    <cfRule type="cellIs" dxfId="25" priority="26" operator="equal">
      <formula>0</formula>
    </cfRule>
  </conditionalFormatting>
  <conditionalFormatting sqref="M4:M7">
    <cfRule type="cellIs" dxfId="24" priority="25" operator="equal">
      <formula>0</formula>
    </cfRule>
  </conditionalFormatting>
  <conditionalFormatting sqref="M8">
    <cfRule type="cellIs" dxfId="23" priority="23" operator="equal">
      <formula>0</formula>
    </cfRule>
  </conditionalFormatting>
  <conditionalFormatting sqref="P10:P12">
    <cfRule type="cellIs" dxfId="22" priority="22" operator="equal">
      <formula>0</formula>
    </cfRule>
  </conditionalFormatting>
  <conditionalFormatting sqref="P9">
    <cfRule type="cellIs" dxfId="21" priority="19" operator="equal">
      <formula>0</formula>
    </cfRule>
  </conditionalFormatting>
  <conditionalFormatting sqref="P3">
    <cfRule type="cellIs" dxfId="20" priority="21" operator="equal">
      <formula>0</formula>
    </cfRule>
  </conditionalFormatting>
  <conditionalFormatting sqref="P4:P7">
    <cfRule type="cellIs" dxfId="19" priority="20" operator="equal">
      <formula>0</formula>
    </cfRule>
  </conditionalFormatting>
  <conditionalFormatting sqref="P8">
    <cfRule type="cellIs" dxfId="18" priority="18" operator="equal">
      <formula>0</formula>
    </cfRule>
  </conditionalFormatting>
  <conditionalFormatting sqref="C3:C7 C10:C12">
    <cfRule type="cellIs" dxfId="17" priority="14" operator="equal">
      <formula>0</formula>
    </cfRule>
  </conditionalFormatting>
  <conditionalFormatting sqref="C9">
    <cfRule type="cellIs" dxfId="16" priority="13" operator="equal">
      <formula>0</formula>
    </cfRule>
  </conditionalFormatting>
  <conditionalFormatting sqref="C8">
    <cfRule type="cellIs" dxfId="15" priority="12" operator="equal">
      <formula>0</formula>
    </cfRule>
  </conditionalFormatting>
  <conditionalFormatting sqref="R3:R7 Q10:R12">
    <cfRule type="cellIs" dxfId="14" priority="11" operator="equal">
      <formula>0</formula>
    </cfRule>
  </conditionalFormatting>
  <conditionalFormatting sqref="S10:S12">
    <cfRule type="cellIs" dxfId="13" priority="10" operator="equal">
      <formula>0</formula>
    </cfRule>
  </conditionalFormatting>
  <conditionalFormatting sqref="S9">
    <cfRule type="cellIs" dxfId="12" priority="4" operator="equal">
      <formula>0</formula>
    </cfRule>
  </conditionalFormatting>
  <conditionalFormatting sqref="Q3:Q7">
    <cfRule type="cellIs" dxfId="11" priority="9" operator="equal">
      <formula>0</formula>
    </cfRule>
  </conditionalFormatting>
  <conditionalFormatting sqref="S3">
    <cfRule type="cellIs" dxfId="10" priority="8" operator="equal">
      <formula>0</formula>
    </cfRule>
  </conditionalFormatting>
  <conditionalFormatting sqref="S4:S7">
    <cfRule type="cellIs" dxfId="9" priority="7" operator="equal">
      <formula>0</formula>
    </cfRule>
  </conditionalFormatting>
  <conditionalFormatting sqref="Q9">
    <cfRule type="cellIs" dxfId="8" priority="6" operator="equal">
      <formula>0</formula>
    </cfRule>
  </conditionalFormatting>
  <conditionalFormatting sqref="R9">
    <cfRule type="cellIs" dxfId="7" priority="5" operator="equal">
      <formula>0</formula>
    </cfRule>
  </conditionalFormatting>
  <conditionalFormatting sqref="Q8">
    <cfRule type="cellIs" dxfId="6" priority="3" operator="equal">
      <formula>0</formula>
    </cfRule>
  </conditionalFormatting>
  <conditionalFormatting sqref="R8">
    <cfRule type="cellIs" dxfId="5" priority="2" operator="equal">
      <formula>0</formula>
    </cfRule>
  </conditionalFormatting>
  <conditionalFormatting sqref="S8">
    <cfRule type="cellIs" dxfId="4"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44" t="s">
        <v>0</v>
      </c>
      <c r="T2" s="244"/>
      <c r="U2" s="244"/>
      <c r="V2" s="244"/>
      <c r="W2" s="244" t="s">
        <v>1</v>
      </c>
      <c r="X2" s="244"/>
      <c r="Y2" s="244"/>
      <c r="Z2" s="244"/>
      <c r="AA2" s="244" t="s">
        <v>2</v>
      </c>
      <c r="AB2" s="244"/>
      <c r="AC2" s="244"/>
      <c r="AD2" s="244"/>
      <c r="AE2" s="244" t="s">
        <v>3</v>
      </c>
      <c r="AF2" s="244"/>
      <c r="AG2" s="244"/>
      <c r="AH2" s="244"/>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45" t="s">
        <v>54</v>
      </c>
      <c r="K17" s="248"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6"/>
      <c r="K18" s="249"/>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6"/>
      <c r="K19" s="249"/>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6"/>
      <c r="K20" s="249"/>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6"/>
      <c r="K21" s="249"/>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6"/>
      <c r="K22" s="249"/>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6"/>
      <c r="K23" s="249"/>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6"/>
      <c r="K24" s="249"/>
      <c r="V24" s="51" t="s">
        <v>63</v>
      </c>
      <c r="Z24" s="51" t="s">
        <v>63</v>
      </c>
      <c r="AD24" s="51" t="s">
        <v>63</v>
      </c>
      <c r="AH24" s="51" t="s">
        <v>63</v>
      </c>
    </row>
    <row r="25" spans="2:36" ht="15.6" x14ac:dyDescent="0.3">
      <c r="B25" s="58"/>
      <c r="C25" s="58"/>
      <c r="D25" s="19"/>
      <c r="E25" s="19"/>
      <c r="F25" s="19"/>
      <c r="G25" s="59"/>
      <c r="J25" s="246"/>
      <c r="K25" s="249"/>
    </row>
    <row r="26" spans="2:36" ht="17.399999999999999" x14ac:dyDescent="0.3">
      <c r="B26" s="58"/>
      <c r="C26" s="58"/>
      <c r="D26" s="19"/>
      <c r="E26" s="19"/>
      <c r="F26" s="19"/>
      <c r="G26" s="59"/>
      <c r="J26" s="246"/>
      <c r="K26" s="249"/>
      <c r="N26" s="251" t="s">
        <v>64</v>
      </c>
      <c r="O26" s="252"/>
      <c r="P26" s="252"/>
      <c r="Q26" s="253"/>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6"/>
      <c r="K27" s="249"/>
      <c r="N27" s="251" t="s">
        <v>66</v>
      </c>
      <c r="O27" s="252"/>
      <c r="P27" s="252"/>
      <c r="Q27" s="253"/>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6"/>
      <c r="K28" s="249"/>
      <c r="O28" s="27"/>
      <c r="P28" s="27"/>
      <c r="Q28" s="27"/>
    </row>
    <row r="29" spans="2:36" ht="15.6" x14ac:dyDescent="0.3">
      <c r="B29" s="58"/>
      <c r="C29" s="58"/>
      <c r="D29" s="19"/>
      <c r="E29" s="19"/>
      <c r="F29" s="19"/>
      <c r="G29" s="59"/>
      <c r="J29" s="246"/>
      <c r="K29" s="249"/>
    </row>
    <row r="30" spans="2:36" x14ac:dyDescent="0.3">
      <c r="J30" s="246"/>
      <c r="K30" s="249"/>
    </row>
    <row r="31" spans="2:36" x14ac:dyDescent="0.3">
      <c r="J31" s="246"/>
      <c r="K31" s="249"/>
    </row>
    <row r="32" spans="2:36" x14ac:dyDescent="0.3">
      <c r="J32" s="246"/>
      <c r="K32" s="249"/>
    </row>
    <row r="33" spans="10:26" ht="15" thickBot="1" x14ac:dyDescent="0.35">
      <c r="J33" s="247"/>
      <c r="K33" s="250"/>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94" priority="18" operator="equal">
      <formula>0</formula>
    </cfRule>
  </conditionalFormatting>
  <conditionalFormatting sqref="S17:AD23">
    <cfRule type="cellIs" dxfId="93" priority="19" operator="notBetween">
      <formula>0.0000000001</formula>
      <formula>-0.0000000001</formula>
    </cfRule>
    <cfRule type="cellIs" dxfId="92" priority="20" operator="between">
      <formula>0.0000000001</formula>
      <formula>-0.0000000001</formula>
    </cfRule>
  </conditionalFormatting>
  <conditionalFormatting sqref="S8:AB8 AD8">
    <cfRule type="cellIs" dxfId="91" priority="13" operator="equal">
      <formula>0</formula>
    </cfRule>
  </conditionalFormatting>
  <conditionalFormatting sqref="AC5:AC7 AC9:AC16">
    <cfRule type="cellIs" dxfId="90" priority="12" operator="equal">
      <formula>0</formula>
    </cfRule>
  </conditionalFormatting>
  <conditionalFormatting sqref="AC8">
    <cfRule type="cellIs" dxfId="89" priority="11" operator="equal">
      <formula>0</formula>
    </cfRule>
  </conditionalFormatting>
  <conditionalFormatting sqref="AG8">
    <cfRule type="cellIs" dxfId="88" priority="5" operator="equal">
      <formula>0</formula>
    </cfRule>
  </conditionalFormatting>
  <conditionalFormatting sqref="AE5:AF7 AE9:AF16 AH9:AI16 AH5:AJ5 AH6:AI7 AJ6:AJ16 AH4">
    <cfRule type="cellIs" dxfId="87" priority="8" operator="equal">
      <formula>0</formula>
    </cfRule>
  </conditionalFormatting>
  <conditionalFormatting sqref="AE17:AJ23">
    <cfRule type="cellIs" dxfId="86" priority="9" operator="notBetween">
      <formula>0.0000000001</formula>
      <formula>-0.0000000001</formula>
    </cfRule>
    <cfRule type="cellIs" dxfId="85" priority="10" operator="between">
      <formula>0.0000000001</formula>
      <formula>-0.0000000001</formula>
    </cfRule>
  </conditionalFormatting>
  <conditionalFormatting sqref="AE8:AF8 AH8:AI8">
    <cfRule type="cellIs" dxfId="84" priority="7" operator="equal">
      <formula>0</formula>
    </cfRule>
  </conditionalFormatting>
  <conditionalFormatting sqref="AG5:AG7 AG9:AG16">
    <cfRule type="cellIs" dxfId="83" priority="6" operator="equal">
      <formula>0</formula>
    </cfRule>
  </conditionalFormatting>
  <conditionalFormatting sqref="AD4 S4:AB4">
    <cfRule type="cellIs" dxfId="82" priority="4" operator="equal">
      <formula>0</formula>
    </cfRule>
  </conditionalFormatting>
  <conditionalFormatting sqref="AC4">
    <cfRule type="cellIs" dxfId="81" priority="3" operator="equal">
      <formula>0</formula>
    </cfRule>
  </conditionalFormatting>
  <conditionalFormatting sqref="AE4:AF4 AI4">
    <cfRule type="cellIs" dxfId="80" priority="2" operator="equal">
      <formula>0</formula>
    </cfRule>
  </conditionalFormatting>
  <conditionalFormatting sqref="AG4">
    <cfRule type="cellIs" dxfId="79"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sheetPr codeName="Sheet3"/>
  <dimension ref="A1:G15"/>
  <sheetViews>
    <sheetView workbookViewId="0">
      <selection activeCell="C16" sqref="C16"/>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54" t="s">
        <v>259</v>
      </c>
    </row>
    <row r="2" spans="1:7" ht="14.4" x14ac:dyDescent="0.25">
      <c r="A2" s="77" t="str">
        <f>Parameters!A2</f>
        <v>Variable HRT</v>
      </c>
      <c r="B2" s="99" t="b">
        <f>Parameters!B2</f>
        <v>0</v>
      </c>
      <c r="C2" s="254"/>
    </row>
    <row r="3" spans="1:7" ht="14.4" x14ac:dyDescent="0.25">
      <c r="A3" s="77" t="str">
        <f>Bacteria!A6</f>
        <v>Initialisation method</v>
      </c>
      <c r="B3" s="99" t="str">
        <f>Bacteria!B6</f>
        <v>suspension</v>
      </c>
      <c r="C3" s="254"/>
    </row>
    <row r="4" spans="1:7" ht="14.4" x14ac:dyDescent="0.25">
      <c r="A4" s="77" t="str">
        <f>Bacteria!A13</f>
        <v>Inactivation enabled</v>
      </c>
      <c r="B4" s="99" t="b">
        <f>Bacteria!B13</f>
        <v>1</v>
      </c>
      <c r="C4" s="254"/>
    </row>
    <row r="5" spans="1:7" ht="14.4" x14ac:dyDescent="0.25">
      <c r="A5" s="77" t="str">
        <f>Bacteria!A14</f>
        <v>Detachment method</v>
      </c>
      <c r="B5" s="99" t="str">
        <f>Bacteria!B14</f>
        <v>none</v>
      </c>
      <c r="C5" s="254"/>
    </row>
    <row r="6" spans="1:7" ht="14.4" x14ac:dyDescent="0.25">
      <c r="A6" s="77" t="str">
        <f>Solver!A4</f>
        <v>pH bulk concentration corrected</v>
      </c>
      <c r="B6" s="99" t="b">
        <f>Solver!B4</f>
        <v>1</v>
      </c>
      <c r="C6" s="254"/>
    </row>
    <row r="7" spans="1:7" ht="14.4" x14ac:dyDescent="0.25">
      <c r="A7" s="77" t="str">
        <f>Solver!A2</f>
        <v>pH solving included</v>
      </c>
      <c r="B7" s="99" t="b">
        <f>Solver!B2</f>
        <v>0</v>
      </c>
      <c r="C7" s="254"/>
    </row>
    <row r="8" spans="1:7" ht="14.4" customHeight="1" x14ac:dyDescent="0.25">
      <c r="A8" s="77" t="str">
        <f>Solver!A5</f>
        <v>Speciation included</v>
      </c>
      <c r="B8" s="99" t="b">
        <f>Solver!B5</f>
        <v>0</v>
      </c>
      <c r="C8" s="254"/>
    </row>
    <row r="9" spans="1:7" ht="13.2" customHeight="1" x14ac:dyDescent="0.25">
      <c r="C9" s="217"/>
      <c r="G9" s="216"/>
    </row>
    <row r="10" spans="1:7" ht="13.2" customHeight="1" x14ac:dyDescent="0.25">
      <c r="C10" s="217"/>
      <c r="G10" s="216"/>
    </row>
    <row r="11" spans="1:7" ht="13.2" customHeight="1" x14ac:dyDescent="0.25">
      <c r="C11" s="217"/>
      <c r="G11" s="216"/>
    </row>
    <row r="12" spans="1:7" ht="13.2" customHeight="1" x14ac:dyDescent="0.25">
      <c r="C12" s="217"/>
      <c r="G12" s="216"/>
    </row>
    <row r="13" spans="1:7" ht="13.2" customHeight="1" x14ac:dyDescent="0.25">
      <c r="C13" s="217"/>
    </row>
    <row r="14" spans="1:7" ht="13.2" customHeight="1" x14ac:dyDescent="0.25">
      <c r="C14" s="217"/>
    </row>
    <row r="15" spans="1:7" ht="13.2" customHeight="1" x14ac:dyDescent="0.25">
      <c r="C15" s="217"/>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28"/>
  <sheetViews>
    <sheetView tabSelected="1" workbookViewId="0">
      <selection activeCell="B15" sqref="B15"/>
    </sheetView>
  </sheetViews>
  <sheetFormatPr defaultColWidth="9.109375" defaultRowHeight="13.2" x14ac:dyDescent="0.25"/>
  <cols>
    <col min="1" max="1" width="33.6640625" style="62" bestFit="1" customWidth="1"/>
    <col min="2" max="2" width="9.6640625" style="62" bestFit="1" customWidth="1"/>
    <col min="3"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129</v>
      </c>
      <c r="E1" s="255" t="s">
        <v>136</v>
      </c>
    </row>
    <row r="2" spans="1:5" ht="14.4" x14ac:dyDescent="0.3">
      <c r="A2" s="77" t="s">
        <v>102</v>
      </c>
      <c r="B2" s="133">
        <v>257</v>
      </c>
      <c r="C2" s="90" t="s">
        <v>97</v>
      </c>
      <c r="D2" s="110" t="s">
        <v>130</v>
      </c>
      <c r="E2" s="255"/>
    </row>
    <row r="3" spans="1:5" ht="14.4" x14ac:dyDescent="0.3">
      <c r="A3" s="77" t="s">
        <v>103</v>
      </c>
      <c r="B3" s="99">
        <f>B5*B1*1000000</f>
        <v>514</v>
      </c>
      <c r="C3" s="90" t="s">
        <v>122</v>
      </c>
      <c r="D3" s="110" t="s">
        <v>123</v>
      </c>
      <c r="E3" s="255"/>
    </row>
    <row r="4" spans="1:5" ht="14.4" x14ac:dyDescent="0.3">
      <c r="A4" s="77" t="s">
        <v>104</v>
      </c>
      <c r="B4" s="99">
        <f>B6*B2*1000000</f>
        <v>514</v>
      </c>
      <c r="C4" s="90" t="s">
        <v>122</v>
      </c>
      <c r="D4" s="110" t="s">
        <v>124</v>
      </c>
      <c r="E4" s="255"/>
    </row>
    <row r="5" spans="1:5" ht="14.4" x14ac:dyDescent="0.3">
      <c r="A5" s="77" t="s">
        <v>105</v>
      </c>
      <c r="B5" s="103">
        <v>1.9999999999999999E-6</v>
      </c>
      <c r="C5" s="90" t="s">
        <v>94</v>
      </c>
      <c r="D5" s="110" t="s">
        <v>125</v>
      </c>
      <c r="E5" s="255"/>
    </row>
    <row r="6" spans="1:5" ht="14.4" x14ac:dyDescent="0.3">
      <c r="A6" s="77" t="s">
        <v>106</v>
      </c>
      <c r="B6" s="103">
        <v>1.9999999999999999E-6</v>
      </c>
      <c r="C6" s="90" t="s">
        <v>94</v>
      </c>
      <c r="D6" s="110" t="s">
        <v>126</v>
      </c>
      <c r="E6" s="255"/>
    </row>
    <row r="7" spans="1:5" ht="14.4" x14ac:dyDescent="0.3">
      <c r="A7" s="77" t="s">
        <v>107</v>
      </c>
      <c r="B7" s="98">
        <f>2*Bacteria!B3</f>
        <v>1.9999999999999999E-6</v>
      </c>
      <c r="C7" s="90" t="s">
        <v>94</v>
      </c>
      <c r="D7" s="110" t="s">
        <v>127</v>
      </c>
      <c r="E7" s="255"/>
    </row>
    <row r="8" spans="1:5" ht="15" thickBot="1" x14ac:dyDescent="0.35">
      <c r="A8" s="89" t="s">
        <v>121</v>
      </c>
      <c r="B8" s="104">
        <f>5*10^(-6)</f>
        <v>4.9999999999999996E-6</v>
      </c>
      <c r="C8" s="92" t="s">
        <v>94</v>
      </c>
      <c r="D8" s="111" t="s">
        <v>128</v>
      </c>
      <c r="E8" s="256"/>
    </row>
    <row r="9" spans="1:5" ht="14.4" customHeight="1" x14ac:dyDescent="0.3">
      <c r="A9" s="76" t="s">
        <v>138</v>
      </c>
      <c r="B9" s="105">
        <v>45000</v>
      </c>
      <c r="C9" s="91" t="s">
        <v>100</v>
      </c>
      <c r="D9" s="112" t="s">
        <v>131</v>
      </c>
      <c r="E9" s="257" t="s">
        <v>137</v>
      </c>
    </row>
    <row r="10" spans="1:5" ht="14.4" customHeight="1" x14ac:dyDescent="0.3">
      <c r="A10" s="77" t="s">
        <v>141</v>
      </c>
      <c r="B10" s="102">
        <v>0.2</v>
      </c>
      <c r="C10" s="90" t="s">
        <v>97</v>
      </c>
      <c r="D10" s="110" t="s">
        <v>148</v>
      </c>
      <c r="E10" s="258"/>
    </row>
    <row r="11" spans="1:5" ht="14.4" x14ac:dyDescent="0.3">
      <c r="A11" s="77" t="s">
        <v>144</v>
      </c>
      <c r="B11" s="98">
        <f>$B$5^2 * B10 / MAX(Diffusion!$B:$B)</f>
        <v>1.5117157974300831E-7</v>
      </c>
      <c r="C11" s="90" t="s">
        <v>100</v>
      </c>
      <c r="D11" s="110" t="s">
        <v>150</v>
      </c>
      <c r="E11" s="258"/>
    </row>
    <row r="12" spans="1:5" ht="14.4" x14ac:dyDescent="0.3">
      <c r="A12" s="77" t="s">
        <v>153</v>
      </c>
      <c r="B12" s="102">
        <v>0.1</v>
      </c>
      <c r="C12" s="90" t="s">
        <v>100</v>
      </c>
      <c r="D12" s="110" t="s">
        <v>154</v>
      </c>
      <c r="E12" s="258"/>
    </row>
    <row r="13" spans="1:5" ht="14.4" x14ac:dyDescent="0.3">
      <c r="A13" s="77" t="s">
        <v>132</v>
      </c>
      <c r="B13" s="106">
        <v>96</v>
      </c>
      <c r="C13" s="90" t="s">
        <v>100</v>
      </c>
      <c r="D13" s="110" t="s">
        <v>134</v>
      </c>
      <c r="E13" s="258"/>
    </row>
    <row r="14" spans="1:5" ht="15" thickBot="1" x14ac:dyDescent="0.35">
      <c r="A14" s="89" t="s">
        <v>133</v>
      </c>
      <c r="B14" s="100">
        <f>B13</f>
        <v>96</v>
      </c>
      <c r="C14" s="124" t="s">
        <v>100</v>
      </c>
      <c r="D14" s="111" t="s">
        <v>135</v>
      </c>
      <c r="E14" s="259"/>
    </row>
    <row r="15" spans="1:5" ht="14.4" x14ac:dyDescent="0.3">
      <c r="A15" s="107" t="s">
        <v>157</v>
      </c>
      <c r="B15" s="134" t="b">
        <v>1</v>
      </c>
      <c r="C15" s="125" t="s">
        <v>97</v>
      </c>
      <c r="D15" s="113" t="s">
        <v>158</v>
      </c>
      <c r="E15" s="257" t="s">
        <v>172</v>
      </c>
    </row>
    <row r="16" spans="1:5" ht="14.4" x14ac:dyDescent="0.3">
      <c r="A16" s="77" t="s">
        <v>139</v>
      </c>
      <c r="B16" s="102">
        <v>0.01</v>
      </c>
      <c r="C16" s="90" t="s">
        <v>97</v>
      </c>
      <c r="D16" s="114" t="s">
        <v>145</v>
      </c>
      <c r="E16" s="258"/>
    </row>
    <row r="17" spans="1:5" ht="14.4" x14ac:dyDescent="0.3">
      <c r="A17" s="77" t="s">
        <v>142</v>
      </c>
      <c r="B17" s="98">
        <f>$B$5^2 * B16 / MAX(Diffusion!$B:$B)</f>
        <v>7.5585789871504157E-9</v>
      </c>
      <c r="C17" s="90" t="s">
        <v>100</v>
      </c>
      <c r="D17" s="114" t="s">
        <v>146</v>
      </c>
      <c r="E17" s="258"/>
    </row>
    <row r="18" spans="1:5" ht="14.4" x14ac:dyDescent="0.3">
      <c r="A18" s="77" t="s">
        <v>140</v>
      </c>
      <c r="B18" s="102">
        <v>0.5</v>
      </c>
      <c r="C18" s="90" t="s">
        <v>97</v>
      </c>
      <c r="D18" s="114" t="s">
        <v>147</v>
      </c>
      <c r="E18" s="258"/>
    </row>
    <row r="19" spans="1:5" ht="14.4" x14ac:dyDescent="0.3">
      <c r="A19" s="77" t="s">
        <v>143</v>
      </c>
      <c r="B19" s="98">
        <f>$B$5^2 * B18 / MAX(Diffusion!$B:$B)</f>
        <v>3.7792894935752074E-7</v>
      </c>
      <c r="C19" s="90" t="s">
        <v>100</v>
      </c>
      <c r="D19" s="114" t="s">
        <v>149</v>
      </c>
      <c r="E19" s="258"/>
    </row>
    <row r="20" spans="1:5" ht="14.4" x14ac:dyDescent="0.3">
      <c r="A20" s="77" t="s">
        <v>151</v>
      </c>
      <c r="B20" s="102">
        <v>0.05</v>
      </c>
      <c r="C20" s="90" t="s">
        <v>100</v>
      </c>
      <c r="D20" s="114" t="s">
        <v>155</v>
      </c>
      <c r="E20" s="258"/>
    </row>
    <row r="21" spans="1:5" ht="14.4" x14ac:dyDescent="0.3">
      <c r="A21" s="108" t="s">
        <v>152</v>
      </c>
      <c r="B21" s="109">
        <v>0.5</v>
      </c>
      <c r="C21" s="126" t="s">
        <v>100</v>
      </c>
      <c r="D21" s="115" t="s">
        <v>156</v>
      </c>
      <c r="E21" s="258"/>
    </row>
    <row r="22" spans="1:5" ht="28.8" x14ac:dyDescent="0.3">
      <c r="A22" s="77" t="s">
        <v>159</v>
      </c>
      <c r="B22" s="102">
        <v>3</v>
      </c>
      <c r="C22" s="127" t="s">
        <v>97</v>
      </c>
      <c r="D22" s="116" t="s">
        <v>165</v>
      </c>
      <c r="E22" s="258"/>
    </row>
    <row r="23" spans="1:5" ht="28.8" x14ac:dyDescent="0.3">
      <c r="A23" s="77" t="s">
        <v>162</v>
      </c>
      <c r="B23" s="102">
        <v>1000</v>
      </c>
      <c r="C23" s="127" t="s">
        <v>97</v>
      </c>
      <c r="D23" s="116" t="s">
        <v>166</v>
      </c>
      <c r="E23" s="258"/>
    </row>
    <row r="24" spans="1:5" ht="28.8" x14ac:dyDescent="0.3">
      <c r="A24" s="77" t="s">
        <v>160</v>
      </c>
      <c r="B24" s="102">
        <v>200</v>
      </c>
      <c r="C24" s="127" t="s">
        <v>97</v>
      </c>
      <c r="D24" s="116" t="s">
        <v>167</v>
      </c>
      <c r="E24" s="258"/>
    </row>
    <row r="25" spans="1:5" ht="28.8" x14ac:dyDescent="0.3">
      <c r="A25" s="77" t="s">
        <v>161</v>
      </c>
      <c r="B25" s="102">
        <v>20</v>
      </c>
      <c r="C25" s="127" t="s">
        <v>97</v>
      </c>
      <c r="D25" s="116" t="s">
        <v>168</v>
      </c>
      <c r="E25" s="258"/>
    </row>
    <row r="26" spans="1:5" ht="28.8" x14ac:dyDescent="0.3">
      <c r="A26" s="77" t="s">
        <v>169</v>
      </c>
      <c r="B26" s="119">
        <v>0.2</v>
      </c>
      <c r="C26" s="127" t="s">
        <v>97</v>
      </c>
      <c r="D26" s="116" t="s">
        <v>173</v>
      </c>
      <c r="E26" s="258"/>
    </row>
    <row r="27" spans="1:5" ht="28.8" x14ac:dyDescent="0.3">
      <c r="A27" s="77" t="s">
        <v>163</v>
      </c>
      <c r="B27" s="118">
        <f>1*10^(-10)</f>
        <v>1E-10</v>
      </c>
      <c r="C27" s="127" t="s">
        <v>97</v>
      </c>
      <c r="D27" s="116" t="s">
        <v>170</v>
      </c>
      <c r="E27" s="258"/>
    </row>
    <row r="28" spans="1:5" ht="29.4" thickBot="1" x14ac:dyDescent="0.35">
      <c r="A28" s="89" t="s">
        <v>164</v>
      </c>
      <c r="B28" s="120">
        <v>0.02</v>
      </c>
      <c r="C28" s="124" t="s">
        <v>97</v>
      </c>
      <c r="D28" s="117" t="s">
        <v>171</v>
      </c>
      <c r="E28" s="259"/>
    </row>
  </sheetData>
  <mergeCells count="3">
    <mergeCell ref="E1:E8"/>
    <mergeCell ref="E9:E14"/>
    <mergeCell ref="E15:E28"/>
  </mergeCells>
  <conditionalFormatting sqref="A16:D28">
    <cfRule type="expression" dxfId="78"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E27"/>
  <sheetViews>
    <sheetView workbookViewId="0">
      <selection activeCell="B14" sqref="B14"/>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32">
        <v>140</v>
      </c>
      <c r="C1" s="90" t="s">
        <v>100</v>
      </c>
      <c r="D1" s="110" t="s">
        <v>183</v>
      </c>
      <c r="E1" s="69"/>
    </row>
    <row r="2" spans="1:5" ht="28.8" x14ac:dyDescent="0.3">
      <c r="A2" s="77" t="s">
        <v>177</v>
      </c>
      <c r="B2" s="122" t="b">
        <v>0</v>
      </c>
      <c r="C2" s="90" t="s">
        <v>97</v>
      </c>
      <c r="D2" s="110" t="s">
        <v>179</v>
      </c>
      <c r="E2" s="69"/>
    </row>
    <row r="3" spans="1:5" ht="14.4" x14ac:dyDescent="0.3">
      <c r="A3" s="77" t="s">
        <v>180</v>
      </c>
      <c r="B3" s="121">
        <f>SUM(Influent!B1:B3)</f>
        <v>1.3749999999999999E-3</v>
      </c>
      <c r="C3" s="90" t="s">
        <v>87</v>
      </c>
      <c r="D3" s="110" t="s">
        <v>178</v>
      </c>
      <c r="E3" s="69"/>
    </row>
    <row r="4" spans="1:5" ht="43.2" x14ac:dyDescent="0.3">
      <c r="A4" s="108" t="s">
        <v>181</v>
      </c>
      <c r="B4" s="218" t="s">
        <v>74</v>
      </c>
      <c r="C4" s="126" t="s">
        <v>97</v>
      </c>
      <c r="D4" s="123" t="s">
        <v>260</v>
      </c>
      <c r="E4" s="69"/>
    </row>
    <row r="5" spans="1:5" ht="14.4" x14ac:dyDescent="0.3">
      <c r="A5" s="77" t="s">
        <v>39</v>
      </c>
      <c r="B5" s="101">
        <v>20</v>
      </c>
      <c r="C5" s="90" t="s">
        <v>17</v>
      </c>
      <c r="D5" s="110" t="s">
        <v>182</v>
      </c>
      <c r="E5" s="69"/>
    </row>
    <row r="6" spans="1:5" ht="14.4" x14ac:dyDescent="0.3">
      <c r="A6" s="77" t="s">
        <v>242</v>
      </c>
      <c r="B6" s="152">
        <f>B5+273.15</f>
        <v>293.14999999999998</v>
      </c>
      <c r="C6" s="90" t="s">
        <v>41</v>
      </c>
      <c r="D6" s="110" t="s">
        <v>241</v>
      </c>
      <c r="E6" s="69"/>
    </row>
    <row r="7" spans="1:5" ht="14.4" x14ac:dyDescent="0.3">
      <c r="A7" s="77" t="s">
        <v>176</v>
      </c>
      <c r="B7" s="153">
        <v>7</v>
      </c>
      <c r="C7" s="90" t="s">
        <v>97</v>
      </c>
      <c r="D7" s="110" t="s">
        <v>184</v>
      </c>
      <c r="E7" s="69"/>
    </row>
    <row r="8" spans="1:5" ht="43.2" x14ac:dyDescent="0.3">
      <c r="A8" s="77" t="s">
        <v>175</v>
      </c>
      <c r="B8" s="128">
        <f>1.2*B11/B12 * 4/3 * PI() *B10^3</f>
        <v>1.3804158119873546E-10</v>
      </c>
      <c r="C8" s="90" t="s">
        <v>98</v>
      </c>
      <c r="D8" s="110" t="s">
        <v>277</v>
      </c>
      <c r="E8" s="69"/>
    </row>
    <row r="9" spans="1:5" ht="14.4" x14ac:dyDescent="0.3">
      <c r="A9" s="77" t="s">
        <v>174</v>
      </c>
      <c r="B9" s="97">
        <f>8.3144/1000</f>
        <v>8.3143999999999996E-3</v>
      </c>
      <c r="C9" s="90" t="s">
        <v>243</v>
      </c>
      <c r="D9" s="110" t="s">
        <v>174</v>
      </c>
      <c r="E9" s="69"/>
    </row>
    <row r="10" spans="1:5" ht="26.4" x14ac:dyDescent="0.25">
      <c r="A10" s="219" t="s">
        <v>275</v>
      </c>
      <c r="B10" s="157">
        <f>65*10^(-6)</f>
        <v>6.4999999999999994E-5</v>
      </c>
      <c r="C10" s="90" t="s">
        <v>94</v>
      </c>
      <c r="D10" s="142" t="s">
        <v>278</v>
      </c>
      <c r="E10" s="69"/>
    </row>
    <row r="11" spans="1:5" ht="14.4" x14ac:dyDescent="0.3">
      <c r="A11" s="77" t="s">
        <v>287</v>
      </c>
      <c r="B11" s="233">
        <v>100</v>
      </c>
      <c r="C11" s="90" t="s">
        <v>276</v>
      </c>
      <c r="D11" s="116" t="s">
        <v>280</v>
      </c>
    </row>
    <row r="12" spans="1:5" ht="14.4" x14ac:dyDescent="0.3">
      <c r="A12" s="77" t="s">
        <v>288</v>
      </c>
      <c r="B12" s="233">
        <v>1</v>
      </c>
      <c r="C12" s="90" t="s">
        <v>276</v>
      </c>
      <c r="D12" s="116" t="s">
        <v>279</v>
      </c>
    </row>
    <row r="13" spans="1:5" x14ac:dyDescent="0.25">
      <c r="A13"/>
      <c r="B13"/>
      <c r="C13"/>
      <c r="D13"/>
    </row>
    <row r="14" spans="1:5" x14ac:dyDescent="0.25">
      <c r="A14"/>
      <c r="B14" s="243"/>
      <c r="C14"/>
      <c r="D14"/>
    </row>
    <row r="15" spans="1:5" x14ac:dyDescent="0.25">
      <c r="A15"/>
      <c r="B15"/>
      <c r="C15"/>
      <c r="D15"/>
    </row>
    <row r="16" spans="1:5" x14ac:dyDescent="0.25">
      <c r="A16"/>
      <c r="B16"/>
      <c r="C16"/>
      <c r="D16"/>
      <c r="E16" s="94"/>
    </row>
    <row r="17" spans="1:4" x14ac:dyDescent="0.25">
      <c r="B17"/>
      <c r="C17"/>
      <c r="D17"/>
    </row>
    <row r="18" spans="1:4" x14ac:dyDescent="0.25">
      <c r="B18"/>
      <c r="C18"/>
      <c r="D18"/>
    </row>
    <row r="19" spans="1:4" x14ac:dyDescent="0.25">
      <c r="B19"/>
      <c r="C19"/>
      <c r="D19"/>
    </row>
    <row r="20" spans="1:4" x14ac:dyDescent="0.25">
      <c r="B20"/>
      <c r="C20"/>
      <c r="D20"/>
    </row>
    <row r="21" spans="1:4" x14ac:dyDescent="0.25">
      <c r="B21"/>
      <c r="C21"/>
      <c r="D21"/>
    </row>
    <row r="22" spans="1:4" x14ac:dyDescent="0.25">
      <c r="B22"/>
      <c r="C22"/>
      <c r="D22"/>
    </row>
    <row r="23" spans="1:4" x14ac:dyDescent="0.25">
      <c r="B23"/>
      <c r="C23"/>
      <c r="D23"/>
    </row>
    <row r="24" spans="1:4" x14ac:dyDescent="0.25">
      <c r="B24"/>
      <c r="C24"/>
      <c r="D24"/>
    </row>
    <row r="25" spans="1:4" x14ac:dyDescent="0.25">
      <c r="A25" s="69"/>
      <c r="B25"/>
      <c r="C25"/>
      <c r="D25"/>
    </row>
    <row r="26" spans="1:4" x14ac:dyDescent="0.25">
      <c r="B26"/>
      <c r="C26"/>
      <c r="D26"/>
    </row>
    <row r="27" spans="1:4" x14ac:dyDescent="0.25">
      <c r="B27"/>
      <c r="C27"/>
      <c r="D27"/>
    </row>
  </sheetData>
  <conditionalFormatting sqref="A3:D4">
    <cfRule type="expression" dxfId="77" priority="3">
      <formula>$B$2 = FALSE</formula>
    </cfRule>
  </conditionalFormatting>
  <conditionalFormatting sqref="A1:D1">
    <cfRule type="expression" dxfId="76"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185</v>
      </c>
      <c r="E1" s="260" t="s">
        <v>186</v>
      </c>
    </row>
    <row r="2" spans="1:5" ht="14.4" x14ac:dyDescent="0.3">
      <c r="A2" s="77" t="s">
        <v>75</v>
      </c>
      <c r="B2" s="121">
        <f>1.912*10^(-9)*3600*0.7</f>
        <v>4.8182400000000001E-6</v>
      </c>
      <c r="C2" s="90" t="s">
        <v>108</v>
      </c>
      <c r="D2" s="110" t="s">
        <v>185</v>
      </c>
      <c r="E2" s="260"/>
    </row>
    <row r="3" spans="1:5" ht="14.4" x14ac:dyDescent="0.3">
      <c r="A3" s="77" t="s">
        <v>80</v>
      </c>
      <c r="B3" s="121">
        <f>1.902*10^(-9)*3600*0.7</f>
        <v>4.7930399999999991E-6</v>
      </c>
      <c r="C3" s="90" t="s">
        <v>108</v>
      </c>
      <c r="D3" s="110" t="s">
        <v>185</v>
      </c>
      <c r="E3" s="260"/>
    </row>
    <row r="4" spans="1:5" ht="14.4" x14ac:dyDescent="0.3">
      <c r="A4" s="77" t="s">
        <v>81</v>
      </c>
      <c r="B4" s="121">
        <f>2.1*10^(-9)*3600*0.7</f>
        <v>5.2920000000000003E-6</v>
      </c>
      <c r="C4" s="90" t="s">
        <v>108</v>
      </c>
      <c r="D4" s="110" t="s">
        <v>185</v>
      </c>
      <c r="E4" s="260"/>
    </row>
    <row r="5" spans="1:5" ht="14.4" x14ac:dyDescent="0.3">
      <c r="A5" s="77" t="s">
        <v>82</v>
      </c>
      <c r="B5" s="121">
        <f>1.92*10^(-9)*3600*0.7</f>
        <v>4.8384000000000001E-6</v>
      </c>
      <c r="C5" s="90" t="s">
        <v>108</v>
      </c>
      <c r="D5" s="110" t="s">
        <v>185</v>
      </c>
      <c r="E5" s="260"/>
    </row>
    <row r="6" spans="1:5" ht="14.4" x14ac:dyDescent="0.3">
      <c r="A6" s="77" t="s">
        <v>83</v>
      </c>
      <c r="B6" s="121">
        <f>1.385*10^(-9)*3600*0.7</f>
        <v>3.4902000000000001E-6</v>
      </c>
      <c r="C6" s="90" t="s">
        <v>108</v>
      </c>
      <c r="D6" s="110" t="s">
        <v>185</v>
      </c>
      <c r="E6" s="260"/>
    </row>
    <row r="7" spans="1:5" ht="15" thickBot="1" x14ac:dyDescent="0.35">
      <c r="A7" s="89" t="s">
        <v>84</v>
      </c>
      <c r="B7" s="129">
        <f>1.334*10^(-9)*3600*0.7</f>
        <v>3.3616800000000002E-6</v>
      </c>
      <c r="C7" s="92" t="s">
        <v>108</v>
      </c>
      <c r="D7" s="111" t="s">
        <v>185</v>
      </c>
      <c r="E7" s="261"/>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2"/>
  <sheetViews>
    <sheetView workbookViewId="0">
      <selection activeCell="B5" sqref="B5"/>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188</v>
      </c>
      <c r="B1" s="98">
        <f>((4/3)*PI()*B3^3)*B4</f>
        <v>2.0943951023931951E-12</v>
      </c>
      <c r="C1" s="90" t="s">
        <v>16</v>
      </c>
      <c r="D1" s="130" t="s">
        <v>196</v>
      </c>
    </row>
    <row r="2" spans="1:4" ht="14.4" x14ac:dyDescent="0.25">
      <c r="A2" s="77" t="s">
        <v>189</v>
      </c>
      <c r="B2" s="98">
        <f>0.1*B1</f>
        <v>2.0943951023931951E-13</v>
      </c>
      <c r="C2" s="90" t="s">
        <v>16</v>
      </c>
      <c r="D2" s="130" t="s">
        <v>197</v>
      </c>
    </row>
    <row r="3" spans="1:4" ht="14.4" x14ac:dyDescent="0.25">
      <c r="A3" s="77" t="s">
        <v>190</v>
      </c>
      <c r="B3" s="131">
        <f>(1)*10^(-6)</f>
        <v>9.9999999999999995E-7</v>
      </c>
      <c r="C3" s="90" t="s">
        <v>94</v>
      </c>
      <c r="D3" s="130" t="s">
        <v>198</v>
      </c>
    </row>
    <row r="4" spans="1:4" ht="14.4" x14ac:dyDescent="0.25">
      <c r="A4" s="77" t="s">
        <v>191</v>
      </c>
      <c r="B4" s="131">
        <f>500*1000</f>
        <v>500000</v>
      </c>
      <c r="C4" s="90" t="s">
        <v>95</v>
      </c>
      <c r="D4" s="130" t="s">
        <v>199</v>
      </c>
    </row>
    <row r="5" spans="1:4" ht="14.4" x14ac:dyDescent="0.25">
      <c r="A5" s="77" t="s">
        <v>192</v>
      </c>
      <c r="B5" s="137">
        <v>24.6</v>
      </c>
      <c r="C5" s="90" t="s">
        <v>96</v>
      </c>
      <c r="D5" s="130" t="s">
        <v>200</v>
      </c>
    </row>
    <row r="6" spans="1:4" ht="14.4" x14ac:dyDescent="0.25">
      <c r="A6" s="138" t="s">
        <v>220</v>
      </c>
      <c r="B6" s="236" t="s">
        <v>282</v>
      </c>
      <c r="C6" s="140" t="s">
        <v>97</v>
      </c>
      <c r="D6" s="141" t="s">
        <v>281</v>
      </c>
    </row>
    <row r="7" spans="1:4" ht="14.4" x14ac:dyDescent="0.25">
      <c r="A7" s="77" t="s">
        <v>194</v>
      </c>
      <c r="B7" s="131">
        <f>25*10^(-6)</f>
        <v>2.4999999999999998E-5</v>
      </c>
      <c r="C7" s="90" t="s">
        <v>94</v>
      </c>
      <c r="D7" s="130" t="s">
        <v>202</v>
      </c>
    </row>
    <row r="8" spans="1:4" ht="28.8" x14ac:dyDescent="0.25">
      <c r="A8" s="77" t="s">
        <v>270</v>
      </c>
      <c r="B8" s="132">
        <f>_xlfn.CEILING.MATH((B7^2 / (0.8*B3 * B12)^2) * 0.75)</f>
        <v>326</v>
      </c>
      <c r="C8" s="90" t="s">
        <v>97</v>
      </c>
      <c r="D8" s="130" t="s">
        <v>271</v>
      </c>
    </row>
    <row r="9" spans="1:4" ht="26.4" x14ac:dyDescent="0.25">
      <c r="A9" s="219" t="s">
        <v>283</v>
      </c>
      <c r="B9" s="132">
        <v>12</v>
      </c>
      <c r="C9" s="238" t="s">
        <v>97</v>
      </c>
      <c r="D9" s="239" t="s">
        <v>284</v>
      </c>
    </row>
    <row r="10" spans="1:4" ht="26.4" x14ac:dyDescent="0.25">
      <c r="A10" s="240" t="s">
        <v>286</v>
      </c>
      <c r="B10" s="237">
        <v>12</v>
      </c>
      <c r="C10" s="126" t="s">
        <v>97</v>
      </c>
      <c r="D10" s="136" t="s">
        <v>285</v>
      </c>
    </row>
    <row r="11" spans="1:4" ht="14.4" x14ac:dyDescent="0.25">
      <c r="A11" s="77" t="s">
        <v>195</v>
      </c>
      <c r="B11" s="132">
        <f>ROUND(((B16)^2)/((B3)^2),0)</f>
        <v>64009</v>
      </c>
      <c r="C11" s="90" t="s">
        <v>97</v>
      </c>
      <c r="D11" s="130" t="s">
        <v>203</v>
      </c>
    </row>
    <row r="12" spans="1:4" ht="28.8" x14ac:dyDescent="0.25">
      <c r="A12" s="77" t="s">
        <v>117</v>
      </c>
      <c r="B12" s="132">
        <v>1.5</v>
      </c>
      <c r="C12" s="90" t="s">
        <v>97</v>
      </c>
      <c r="D12" s="130" t="s">
        <v>204</v>
      </c>
    </row>
    <row r="13" spans="1:4" ht="28.8" x14ac:dyDescent="0.25">
      <c r="A13" s="77" t="s">
        <v>205</v>
      </c>
      <c r="B13" s="137" t="b">
        <v>1</v>
      </c>
      <c r="C13" s="90" t="s">
        <v>97</v>
      </c>
      <c r="D13" s="130" t="s">
        <v>206</v>
      </c>
    </row>
    <row r="14" spans="1:4" ht="14.4" x14ac:dyDescent="0.25">
      <c r="A14" s="138" t="s">
        <v>207</v>
      </c>
      <c r="B14" s="139" t="s">
        <v>292</v>
      </c>
      <c r="C14" s="140" t="s">
        <v>97</v>
      </c>
      <c r="D14" s="141" t="s">
        <v>210</v>
      </c>
    </row>
    <row r="15" spans="1:4" ht="14.4" x14ac:dyDescent="0.25">
      <c r="A15" s="77" t="s">
        <v>208</v>
      </c>
      <c r="B15" s="132">
        <v>0.05</v>
      </c>
      <c r="C15" s="90" t="s">
        <v>209</v>
      </c>
      <c r="D15" s="130" t="s">
        <v>211</v>
      </c>
    </row>
    <row r="16" spans="1:4" ht="28.8" x14ac:dyDescent="0.25">
      <c r="A16" s="108" t="s">
        <v>193</v>
      </c>
      <c r="B16" s="135">
        <f>Discretization!B3/2/1000000 - 2*Discretization!B5</f>
        <v>2.5300000000000002E-4</v>
      </c>
      <c r="C16" s="126" t="s">
        <v>94</v>
      </c>
      <c r="D16" s="136" t="s">
        <v>201</v>
      </c>
    </row>
    <row r="17" spans="1:5" x14ac:dyDescent="0.25">
      <c r="A17" s="69"/>
      <c r="B17" s="94"/>
      <c r="C17" s="69"/>
      <c r="D17" s="69"/>
    </row>
    <row r="18" spans="1:5" x14ac:dyDescent="0.25">
      <c r="B18" s="148"/>
      <c r="C18" s="232"/>
    </row>
    <row r="19" spans="1:5" x14ac:dyDescent="0.25">
      <c r="C19" s="94"/>
      <c r="D19" s="69"/>
      <c r="E19" s="69"/>
    </row>
    <row r="20" spans="1:5" x14ac:dyDescent="0.25">
      <c r="C20" s="69"/>
      <c r="D20" s="94"/>
      <c r="E20" s="69"/>
    </row>
    <row r="21" spans="1:5" x14ac:dyDescent="0.25">
      <c r="B21" s="231"/>
      <c r="C21" s="69"/>
      <c r="D21" s="69"/>
      <c r="E21" s="94"/>
    </row>
    <row r="22" spans="1:5" x14ac:dyDescent="0.25">
      <c r="B22" s="234"/>
      <c r="C22" s="235"/>
    </row>
  </sheetData>
  <conditionalFormatting sqref="A15:D15">
    <cfRule type="expression" dxfId="75" priority="5">
      <formula>$B$14&lt;&gt;"mechanistic"</formula>
    </cfRule>
  </conditionalFormatting>
  <conditionalFormatting sqref="A16:D16">
    <cfRule type="expression" dxfId="74" priority="4">
      <formula>$B$14&lt;&gt;"naive"</formula>
    </cfRule>
  </conditionalFormatting>
  <conditionalFormatting sqref="A9:D10">
    <cfRule type="expression" dxfId="73" priority="2">
      <formula>OR($B$6 = "granule", $B$6 = "mature granule")</formula>
    </cfRule>
  </conditionalFormatting>
  <conditionalFormatting sqref="A7:D8">
    <cfRule type="expression" dxfId="72" priority="3">
      <formula>$B$6 ="suspension"</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14" xr:uid="{612E5177-E007-4AA1-A867-561F6B98DA27}">
      <formula1>"mechanistic, naive, none, SBR"</formula1>
    </dataValidation>
    <dataValidation type="list" allowBlank="1" showInputMessage="1" showErrorMessage="1" sqref="B6" xr:uid="{2612E19F-069C-4D1D-B983-8FF0792C7324}">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D12"/>
  <sheetViews>
    <sheetView zoomScaleNormal="100" workbookViewId="0">
      <selection activeCell="D8" sqref="D8"/>
    </sheetView>
  </sheetViews>
  <sheetFormatPr defaultColWidth="11.44140625" defaultRowHeight="13.2" x14ac:dyDescent="0.25"/>
  <cols>
    <col min="1" max="1" width="31.33203125" bestFit="1" customWidth="1"/>
    <col min="4" max="4" width="73.6640625" customWidth="1"/>
  </cols>
  <sheetData>
    <row r="1" spans="1:4" ht="14.4" x14ac:dyDescent="0.25">
      <c r="A1" s="77" t="s">
        <v>218</v>
      </c>
      <c r="B1" s="131">
        <v>1E-8</v>
      </c>
      <c r="C1" s="90" t="s">
        <v>87</v>
      </c>
      <c r="D1" s="130" t="s">
        <v>219</v>
      </c>
    </row>
    <row r="2" spans="1:4" ht="14.4" x14ac:dyDescent="0.25">
      <c r="A2" s="77" t="s">
        <v>221</v>
      </c>
      <c r="B2" s="132" t="b">
        <v>0</v>
      </c>
      <c r="C2" s="90" t="s">
        <v>97</v>
      </c>
      <c r="D2" s="130" t="s">
        <v>223</v>
      </c>
    </row>
    <row r="3" spans="1:4" ht="14.4" x14ac:dyDescent="0.25">
      <c r="A3" s="77" t="s">
        <v>187</v>
      </c>
      <c r="B3" s="131">
        <v>1.0000000000000001E-15</v>
      </c>
      <c r="C3" s="90" t="s">
        <v>97</v>
      </c>
      <c r="D3" s="130" t="s">
        <v>222</v>
      </c>
    </row>
    <row r="4" spans="1:4" ht="14.4" x14ac:dyDescent="0.25">
      <c r="A4" s="77" t="s">
        <v>252</v>
      </c>
      <c r="B4" s="132" t="b">
        <v>1</v>
      </c>
      <c r="C4" s="90" t="s">
        <v>97</v>
      </c>
      <c r="D4" s="130" t="s">
        <v>253</v>
      </c>
    </row>
    <row r="5" spans="1:4" ht="28.8" x14ac:dyDescent="0.25">
      <c r="A5" s="108" t="s">
        <v>224</v>
      </c>
      <c r="B5" s="228" t="b">
        <v>0</v>
      </c>
      <c r="C5" s="126" t="s">
        <v>97</v>
      </c>
      <c r="D5" s="136" t="s">
        <v>258</v>
      </c>
    </row>
    <row r="6" spans="1:4" ht="28.8" x14ac:dyDescent="0.25">
      <c r="A6" s="77" t="s">
        <v>225</v>
      </c>
      <c r="B6" s="131">
        <f>1*10^(-8)</f>
        <v>1E-8</v>
      </c>
      <c r="C6" s="90" t="s">
        <v>97</v>
      </c>
      <c r="D6" s="130" t="s">
        <v>226</v>
      </c>
    </row>
    <row r="7" spans="1:4" ht="28.8" x14ac:dyDescent="0.25">
      <c r="A7" s="77" t="s">
        <v>212</v>
      </c>
      <c r="B7" s="132">
        <v>5.0000000000000001E-3</v>
      </c>
      <c r="C7" s="90" t="s">
        <v>290</v>
      </c>
      <c r="D7" s="130" t="s">
        <v>291</v>
      </c>
    </row>
    <row r="8" spans="1:4" ht="14.4" x14ac:dyDescent="0.25">
      <c r="A8" s="77" t="s">
        <v>213</v>
      </c>
      <c r="B8" s="132" t="s">
        <v>214</v>
      </c>
      <c r="C8" s="90" t="s">
        <v>97</v>
      </c>
      <c r="D8" s="130" t="s">
        <v>217</v>
      </c>
    </row>
    <row r="9" spans="1:4" ht="14.4" x14ac:dyDescent="0.25">
      <c r="A9" s="77" t="s">
        <v>215</v>
      </c>
      <c r="B9" s="132">
        <v>2</v>
      </c>
      <c r="C9" s="90" t="s">
        <v>97</v>
      </c>
      <c r="D9" s="130" t="s">
        <v>216</v>
      </c>
    </row>
    <row r="10" spans="1:4" ht="28.8" x14ac:dyDescent="0.25">
      <c r="A10" s="108" t="s">
        <v>227</v>
      </c>
      <c r="B10" s="228" t="b">
        <v>0</v>
      </c>
      <c r="C10" s="229" t="s">
        <v>97</v>
      </c>
      <c r="D10" s="230" t="s">
        <v>228</v>
      </c>
    </row>
    <row r="11" spans="1:4" ht="14.4" x14ac:dyDescent="0.25">
      <c r="A11" s="77" t="s">
        <v>255</v>
      </c>
      <c r="B11" s="132" t="b">
        <v>0</v>
      </c>
      <c r="C11" s="127" t="s">
        <v>97</v>
      </c>
      <c r="D11" s="142" t="s">
        <v>256</v>
      </c>
    </row>
    <row r="12" spans="1:4" ht="28.8" x14ac:dyDescent="0.25">
      <c r="A12" s="77" t="s">
        <v>254</v>
      </c>
      <c r="B12" s="132" t="s">
        <v>112</v>
      </c>
      <c r="C12" s="127" t="s">
        <v>97</v>
      </c>
      <c r="D12" s="142" t="s">
        <v>257</v>
      </c>
    </row>
  </sheetData>
  <conditionalFormatting sqref="A3:D4">
    <cfRule type="expression" dxfId="71" priority="3">
      <formula>$B$2=FALSE</formula>
    </cfRule>
  </conditionalFormatting>
  <conditionalFormatting sqref="A12:D12">
    <cfRule type="expression" dxfId="70" priority="2">
      <formula>$B$11=FALSE</formula>
    </cfRule>
  </conditionalFormatting>
  <conditionalFormatting sqref="A5:D5">
    <cfRule type="expression" dxfId="69"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J16"/>
  <sheetViews>
    <sheetView workbookViewId="0">
      <selection activeCell="B2" sqref="B2"/>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f>500*10^(-6)</f>
        <v>5.0000000000000001E-4</v>
      </c>
      <c r="C1" s="90" t="s">
        <v>87</v>
      </c>
      <c r="D1" s="143" t="s">
        <v>20</v>
      </c>
      <c r="E1" s="262" t="s">
        <v>230</v>
      </c>
      <c r="F1" s="69"/>
      <c r="G1" s="69"/>
      <c r="H1" s="69"/>
      <c r="I1" s="69"/>
      <c r="J1" s="69"/>
    </row>
    <row r="2" spans="1:10" x14ac:dyDescent="0.25">
      <c r="A2" s="77" t="s">
        <v>75</v>
      </c>
      <c r="B2" s="131">
        <f>375*10^(-6)</f>
        <v>3.7500000000000001E-4</v>
      </c>
      <c r="C2" s="90" t="s">
        <v>87</v>
      </c>
      <c r="D2" s="143" t="s">
        <v>20</v>
      </c>
      <c r="E2" s="262"/>
      <c r="F2" s="69"/>
      <c r="G2" s="69"/>
      <c r="H2" s="69"/>
      <c r="I2" s="69"/>
      <c r="J2" s="69"/>
    </row>
    <row r="3" spans="1:10" x14ac:dyDescent="0.25">
      <c r="A3" s="77" t="s">
        <v>80</v>
      </c>
      <c r="B3" s="131">
        <f>500*10^(-6)</f>
        <v>5.0000000000000001E-4</v>
      </c>
      <c r="C3" s="90" t="s">
        <v>87</v>
      </c>
      <c r="D3" s="143" t="s">
        <v>20</v>
      </c>
      <c r="E3" s="262"/>
      <c r="F3" s="69"/>
      <c r="G3" s="69"/>
      <c r="H3" s="69"/>
      <c r="I3" s="69"/>
      <c r="J3" s="69"/>
    </row>
    <row r="4" spans="1:10" x14ac:dyDescent="0.25">
      <c r="A4" s="77" t="s">
        <v>81</v>
      </c>
      <c r="B4" s="131">
        <f>1*10^(-6)</f>
        <v>9.9999999999999995E-7</v>
      </c>
      <c r="C4" s="90" t="s">
        <v>87</v>
      </c>
      <c r="D4" s="143" t="s">
        <v>90</v>
      </c>
      <c r="E4" s="262"/>
      <c r="F4" s="69"/>
      <c r="G4" s="69"/>
      <c r="H4" s="69"/>
      <c r="I4" s="69"/>
      <c r="J4" s="69"/>
    </row>
    <row r="5" spans="1:10" x14ac:dyDescent="0.25">
      <c r="A5" s="77" t="s">
        <v>82</v>
      </c>
      <c r="B5" s="118">
        <v>1E-3</v>
      </c>
      <c r="C5" s="90" t="s">
        <v>87</v>
      </c>
      <c r="D5" s="143" t="s">
        <v>90</v>
      </c>
      <c r="E5" s="262"/>
      <c r="F5" s="94"/>
      <c r="G5" s="69"/>
      <c r="H5" s="69"/>
      <c r="I5" s="69"/>
      <c r="J5" s="69"/>
    </row>
    <row r="6" spans="1:10" x14ac:dyDescent="0.25">
      <c r="A6" s="77" t="s">
        <v>83</v>
      </c>
      <c r="B6" s="131">
        <f>B1/2</f>
        <v>2.5000000000000001E-4</v>
      </c>
      <c r="C6" s="90" t="s">
        <v>87</v>
      </c>
      <c r="D6" s="143" t="s">
        <v>90</v>
      </c>
      <c r="E6" s="262"/>
      <c r="F6" s="94"/>
      <c r="G6" s="69"/>
      <c r="H6" s="69"/>
      <c r="I6" s="69"/>
      <c r="J6" s="69"/>
    </row>
    <row r="7" spans="1:10" x14ac:dyDescent="0.25">
      <c r="A7" s="77" t="s">
        <v>84</v>
      </c>
      <c r="B7" s="131">
        <f>B5</f>
        <v>1E-3</v>
      </c>
      <c r="C7" s="90" t="s">
        <v>87</v>
      </c>
      <c r="D7" s="143" t="s">
        <v>90</v>
      </c>
      <c r="E7" s="262"/>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cp:lastPrinted>2021-12-06T15:39:21Z</cp:lastPrinted>
  <dcterms:created xsi:type="dcterms:W3CDTF">2008-02-06T12:16:03Z</dcterms:created>
  <dcterms:modified xsi:type="dcterms:W3CDTF">2022-05-15T11:32:47Z</dcterms:modified>
  <cp:category/>
  <cp:contentStatus/>
</cp:coreProperties>
</file>