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Chain elongation\"/>
    </mc:Choice>
  </mc:AlternateContent>
  <xr:revisionPtr revIDLastSave="0" documentId="13_ncr:1_{8A567DAC-DFCA-4AD8-8502-E93FDF61AED9}" xr6:coauthVersionLast="47" xr6:coauthVersionMax="47" xr10:uidLastSave="{00000000-0000-0000-0000-000000000000}"/>
  <bookViews>
    <workbookView xWindow="-108" yWindow="-108" windowWidth="23256" windowHeight="12576" xr2:uid="{EFD655F6-D1C4-4E2E-BC00-7FECAB14517D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6" i="1"/>
  <c r="S5" i="1"/>
  <c r="R21" i="1"/>
  <c r="R20" i="1"/>
  <c r="R5" i="1"/>
  <c r="R4" i="1"/>
  <c r="AA18" i="1"/>
  <c r="AA22" i="1"/>
  <c r="Z22" i="1"/>
  <c r="Z23" i="1"/>
  <c r="Y22" i="1"/>
  <c r="Y23" i="1"/>
  <c r="Y24" i="1"/>
  <c r="X16" i="1"/>
  <c r="X15" i="1"/>
  <c r="X11" i="1"/>
  <c r="X10" i="1"/>
  <c r="W23" i="1"/>
  <c r="W22" i="1"/>
  <c r="W15" i="1"/>
  <c r="W14" i="1"/>
  <c r="V17" i="1"/>
  <c r="V14" i="1"/>
  <c r="V13" i="1"/>
  <c r="U24" i="1"/>
  <c r="U13" i="1"/>
  <c r="U12" i="1"/>
  <c r="T21" i="1"/>
  <c r="T12" i="1"/>
  <c r="T10" i="1"/>
  <c r="T4" i="1"/>
  <c r="Q11" i="1"/>
  <c r="Q10" i="1"/>
  <c r="Q6" i="1"/>
  <c r="Q4" i="1"/>
  <c r="P23" i="1"/>
  <c r="P22" i="1"/>
  <c r="P10" i="1"/>
  <c r="P9" i="1"/>
  <c r="O17" i="1"/>
  <c r="O9" i="1"/>
  <c r="O8" i="1"/>
  <c r="N24" i="1"/>
  <c r="N8" i="1"/>
  <c r="N7" i="1"/>
  <c r="M21" i="1"/>
  <c r="M7" i="1"/>
  <c r="M4" i="1"/>
  <c r="J24" i="1" l="1"/>
  <c r="K3" i="1"/>
  <c r="J16" i="1"/>
  <c r="J12" i="1"/>
  <c r="J13" i="1" l="1"/>
  <c r="J14" i="1"/>
  <c r="J11" i="1"/>
  <c r="J17" i="1"/>
  <c r="J15" i="1"/>
  <c r="J22" i="1"/>
  <c r="L21" i="1"/>
  <c r="J18" i="1"/>
  <c r="J19" i="1"/>
  <c r="J20" i="1"/>
  <c r="J6" i="1"/>
  <c r="J5" i="1"/>
  <c r="J10" i="1"/>
  <c r="J9" i="1"/>
  <c r="J8" i="1"/>
  <c r="L23" i="1"/>
  <c r="L4" i="1"/>
  <c r="L3" i="1"/>
  <c r="K23" i="1"/>
  <c r="K2" i="1"/>
  <c r="J23" i="1" l="1"/>
  <c r="J3" i="1"/>
  <c r="J2" i="1"/>
  <c r="J21" i="1"/>
  <c r="J4" i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tc={BA0B37BD-602E-476F-8494-87FC5954DA8C}</author>
    <author>tc={D864240E-1822-406F-B015-BF56BD66B605}</author>
    <author>tc={6C510979-D090-4587-80F4-CF3391ADD0DD}</author>
  </authors>
  <commentList>
    <comment ref="I1" authorId="0" shapeId="0" xr:uid="{BA0B37BD-602E-476F-8494-87FC5954DA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P1" authorId="1" shapeId="0" xr:uid="{D864240E-1822-406F-B015-BF56BD66B60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 electron bifurcation</t>
      </text>
    </comment>
    <comment ref="H4" authorId="2" shapeId="0" xr:uid="{6C510979-D090-4587-80F4-CF3391ADD0D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<sst xmlns="http://schemas.openxmlformats.org/spreadsheetml/2006/main" count="80" uniqueCount="80">
  <si>
    <t>C</t>
  </si>
  <si>
    <t>H</t>
  </si>
  <si>
    <t>O</t>
  </si>
  <si>
    <t>N</t>
  </si>
  <si>
    <t>P</t>
  </si>
  <si>
    <t xml:space="preserve"> +/-</t>
  </si>
  <si>
    <t>fixed_c</t>
  </si>
  <si>
    <t>NET_R</t>
  </si>
  <si>
    <t>relative flux</t>
  </si>
  <si>
    <t>ethanol</t>
  </si>
  <si>
    <t>Compound name</t>
  </si>
  <si>
    <t>Identifier</t>
  </si>
  <si>
    <t>acetyl-CoA</t>
  </si>
  <si>
    <t>bigg.metabolite:accoa</t>
  </si>
  <si>
    <t>acetate</t>
  </si>
  <si>
    <t>bigg.metabolite:ac</t>
  </si>
  <si>
    <t>rATP</t>
  </si>
  <si>
    <t>a</t>
  </si>
  <si>
    <t>b</t>
  </si>
  <si>
    <t>aceto-acetylCoA</t>
  </si>
  <si>
    <t>kegg:C00332</t>
  </si>
  <si>
    <t>acetaldehyde</t>
  </si>
  <si>
    <t>butyryl-CoA</t>
  </si>
  <si>
    <t>kegg:C01144</t>
  </si>
  <si>
    <t>crotonoyl-CoA</t>
  </si>
  <si>
    <t>kegg:C00877</t>
  </si>
  <si>
    <t>kegg:C00136</t>
  </si>
  <si>
    <t>acetyl-phosphate</t>
  </si>
  <si>
    <t>bigg.metabolite:actp</t>
  </si>
  <si>
    <t>rNADH</t>
  </si>
  <si>
    <t>H2</t>
  </si>
  <si>
    <t>bigg.metabolite:h2</t>
  </si>
  <si>
    <t>bigg.metabolite:atp</t>
  </si>
  <si>
    <t>Pi</t>
  </si>
  <si>
    <t>bigg.metabolite:pi</t>
  </si>
  <si>
    <t>CoA</t>
  </si>
  <si>
    <t>bigg.metabolite:coa</t>
  </si>
  <si>
    <t>rFd</t>
  </si>
  <si>
    <t>kegg:C00138</t>
  </si>
  <si>
    <t>bigg.metabolite:nadh</t>
  </si>
  <si>
    <t>butyric acid</t>
  </si>
  <si>
    <t>kegg:C00246</t>
  </si>
  <si>
    <t>H2O</t>
  </si>
  <si>
    <t>bigg.metabolite:h2o</t>
  </si>
  <si>
    <t>acetylcoA acetyl transferase</t>
  </si>
  <si>
    <t>OH-butyryl - coA dehydrogenase</t>
  </si>
  <si>
    <t>OH-butyryl - coA dehydratase</t>
  </si>
  <si>
    <t>butyrylcoA dehydrogenase</t>
  </si>
  <si>
    <t>phosphate acetyl transferase</t>
  </si>
  <si>
    <t>acetate kinase</t>
  </si>
  <si>
    <t>Rnf</t>
  </si>
  <si>
    <t>hyd</t>
  </si>
  <si>
    <t>kegg:C00469</t>
  </si>
  <si>
    <t>kegg:C00084</t>
  </si>
  <si>
    <t>alcohol dehydrogenase</t>
  </si>
  <si>
    <t>acetaldehyde dehydrogenase </t>
  </si>
  <si>
    <t>acetate CoA-transferase</t>
  </si>
  <si>
    <t>ketohexanoyl-CoA</t>
  </si>
  <si>
    <t>hydroxy-hexanoyl-CoA</t>
  </si>
  <si>
    <t>hydroxy-butyryl-CoA</t>
  </si>
  <si>
    <t>hex-2-enoyl-CoA</t>
  </si>
  <si>
    <t>hexanoyl-CoA</t>
  </si>
  <si>
    <t>caproate</t>
  </si>
  <si>
    <t>kegg:C05269</t>
  </si>
  <si>
    <t>kegg:C05268</t>
  </si>
  <si>
    <t>kegg:C05271</t>
  </si>
  <si>
    <t>kegg:C05270</t>
  </si>
  <si>
    <t>kegg:C01585</t>
  </si>
  <si>
    <t>acetylcoA acetyl transferase (II)</t>
  </si>
  <si>
    <t>OH-hexanoyl-CoA dehydrogenase</t>
  </si>
  <si>
    <t>OH-hexanoyl-CoA dehydratase</t>
  </si>
  <si>
    <t>hexanoyl-CoA dehydrogenase</t>
  </si>
  <si>
    <t>hexanoyl-coA transferase</t>
  </si>
  <si>
    <t>moles of ethanol fed</t>
  </si>
  <si>
    <t>moles of acetic fed</t>
  </si>
  <si>
    <t>net moles of butyric produced</t>
  </si>
  <si>
    <t>c</t>
  </si>
  <si>
    <t>bigg.metabolite:nadph</t>
  </si>
  <si>
    <t>rNADPH</t>
  </si>
  <si>
    <t>Nfn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</si>
</sst>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021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1" fillId="0" borderId="2" xfId="0" applyFont="1" applyBorder="1"/>
    <xf numFmtId="0" fontId="1" fillId="0" borderId="0" xfId="0" applyFont="1"/>
    <xf numFmtId="0" fontId="0" fillId="0" borderId="3" xfId="0" applyBorder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3" xfId="0" applyFont="1" applyBorder="1"/>
    <xf numFmtId="0" fontId="2" fillId="0" borderId="0" xfId="0" applyFont="1"/>
    <xf numFmtId="0" fontId="0" fillId="6" borderId="2" xfId="0" applyFill="1" applyBorder="1"/>
    <xf numFmtId="0" fontId="3" fillId="6" borderId="0" xfId="0" applyFont="1" applyFill="1"/>
    <xf numFmtId="0" fontId="0" fillId="7" borderId="4" xfId="0" applyFill="1" applyBorder="1"/>
    <xf numFmtId="0" fontId="0" fillId="4" borderId="4" xfId="0" applyFill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0" fillId="6" borderId="0" xfId="0" applyFill="1"/>
    <xf numFmtId="0" fontId="1" fillId="0" borderId="2" xfId="0" applyFont="1" applyBorder="1" applyAlignment="1">
      <alignment wrapText="1"/>
    </xf>
    <xf numFmtId="0" fontId="0" fillId="0" borderId="0" xfId="0" applyFill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6" borderId="0" xfId="0" applyFill="1" applyAlignment="1">
      <alignment wrapText="1"/>
    </xf>
    <xf numFmtId="16" fontId="0" fillId="0" borderId="0" xfId="0" applyNumberFormat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539FCB83-AA90-4BBF-AFFA-83601EB9540F}" userId="Marit Verheijen" providerId="None"/>
  <person displayName="Marit Verheijen" id="{8A71FF75-741D-496C-8828-61938CB08C7E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8A71FF75-741D-496C-8828-61938CB08C7E}" id="{BA0B37BD-602E-476F-8494-87FC5954DA8C}">
    <text>M</text>
  </threadedComment>
  <threadedComment ref="P1" dT="2021-11-26T08:49:16.62" personId="{539FCB83-AA90-4BBF-AFFA-83601EB9540F}" id="{D864240E-1822-406F-B015-BF56BD66B605}">
    <text>no electron bifurcation</text>
  </threadedComment>
  <threadedComment ref="H4" dT="2021-10-26T07:00:42.87" personId="{539FCB83-AA90-4BBF-AFFA-83601EB9540F}" id="{6C510979-D090-4587-80F4-CF3391ADD0DD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75E-45DE-404E-B112-19F8AEE4B4DB}">
  <dimension ref="A1:AF25"/>
  <sheetViews>
    <sheetView tabSelected="1" workbookViewId="0">
      <pane xSplit="1" topLeftCell="F1" activePane="topRight" state="frozen"/>
      <selection activeCell="A4" sqref="A4"/>
      <selection pane="topRight" activeCell="L15" sqref="L15"/>
    </sheetView>
  </sheetViews>
  <sheetFormatPr defaultRowHeight="14.4" x14ac:dyDescent="0.3"/>
  <cols>
    <col min="1" max="1" width="21.5546875" bestFit="1" customWidth="1"/>
    <col min="2" max="2" width="20.44140625" customWidth="1"/>
    <col min="9" max="9" width="11" bestFit="1" customWidth="1"/>
    <col min="10" max="10" width="12.6640625" bestFit="1" customWidth="1"/>
    <col min="12" max="12" width="10.6640625" customWidth="1"/>
    <col min="13" max="13" width="10.88671875" customWidth="1"/>
    <col min="14" max="14" width="10.5546875" customWidth="1"/>
    <col min="15" max="15" width="11.44140625" customWidth="1"/>
    <col min="16" max="16" width="10.5546875" customWidth="1"/>
    <col min="17" max="17" width="10.44140625" customWidth="1"/>
    <col min="18" max="18" width="11.6640625" customWidth="1"/>
    <col min="20" max="20" width="10.6640625" customWidth="1"/>
    <col min="21" max="21" width="11.88671875" customWidth="1"/>
    <col min="22" max="22" width="12.33203125" customWidth="1"/>
    <col min="23" max="23" width="11.109375" customWidth="1"/>
    <col min="24" max="25" width="10.109375" customWidth="1"/>
  </cols>
  <sheetData>
    <row r="1" spans="1:32" ht="57.6" x14ac:dyDescent="0.3">
      <c r="A1" s="1" t="s">
        <v>10</v>
      </c>
      <c r="B1" s="13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23" t="s">
        <v>54</v>
      </c>
      <c r="L1" s="22" t="s">
        <v>55</v>
      </c>
      <c r="M1" s="20" t="s">
        <v>44</v>
      </c>
      <c r="N1" s="20" t="s">
        <v>45</v>
      </c>
      <c r="O1" s="20" t="s">
        <v>46</v>
      </c>
      <c r="P1" s="20" t="s">
        <v>47</v>
      </c>
      <c r="Q1" s="24" t="s">
        <v>56</v>
      </c>
      <c r="R1" s="20" t="s">
        <v>48</v>
      </c>
      <c r="S1" s="20" t="s">
        <v>49</v>
      </c>
      <c r="T1" s="20" t="s">
        <v>68</v>
      </c>
      <c r="U1" s="20" t="s">
        <v>69</v>
      </c>
      <c r="V1" s="20" t="s">
        <v>70</v>
      </c>
      <c r="W1" s="20" t="s">
        <v>71</v>
      </c>
      <c r="X1" s="20" t="s">
        <v>72</v>
      </c>
      <c r="Y1" s="20" t="s">
        <v>79</v>
      </c>
      <c r="Z1" s="5" t="s">
        <v>50</v>
      </c>
      <c r="AA1" s="5" t="s">
        <v>51</v>
      </c>
      <c r="AB1" s="5"/>
      <c r="AC1" s="5"/>
      <c r="AD1" s="5"/>
      <c r="AE1" s="5"/>
      <c r="AF1" s="6"/>
    </row>
    <row r="2" spans="1:32" x14ac:dyDescent="0.3">
      <c r="A2" s="7" t="s">
        <v>9</v>
      </c>
      <c r="B2" s="14" t="s">
        <v>52</v>
      </c>
      <c r="C2" s="10">
        <v>2</v>
      </c>
      <c r="D2" s="10">
        <v>6</v>
      </c>
      <c r="E2" s="10">
        <v>1</v>
      </c>
      <c r="F2" s="10">
        <v>0</v>
      </c>
      <c r="G2" s="10">
        <v>0</v>
      </c>
      <c r="H2" s="10">
        <v>0</v>
      </c>
      <c r="I2" s="8">
        <v>0.01</v>
      </c>
      <c r="J2" s="9">
        <f t="shared" ref="J2:J24" si="0">SUM(K2:AF2)</f>
        <v>-6</v>
      </c>
      <c r="K2">
        <f>-1*Blad2!B2</f>
        <v>-6</v>
      </c>
    </row>
    <row r="3" spans="1:32" x14ac:dyDescent="0.3">
      <c r="A3" s="7" t="s">
        <v>21</v>
      </c>
      <c r="B3" s="14" t="s">
        <v>53</v>
      </c>
      <c r="C3">
        <v>2</v>
      </c>
      <c r="D3">
        <v>4</v>
      </c>
      <c r="E3">
        <v>1</v>
      </c>
      <c r="F3">
        <v>0</v>
      </c>
      <c r="G3">
        <v>0</v>
      </c>
      <c r="H3">
        <v>0</v>
      </c>
      <c r="I3" s="8"/>
      <c r="J3" s="9">
        <f t="shared" si="0"/>
        <v>0</v>
      </c>
      <c r="K3">
        <f>1*Blad2!B2</f>
        <v>6</v>
      </c>
      <c r="L3">
        <f>-1*Blad2!B2</f>
        <v>-6</v>
      </c>
    </row>
    <row r="4" spans="1:32" x14ac:dyDescent="0.3">
      <c r="A4" s="7" t="s">
        <v>12</v>
      </c>
      <c r="B4" s="14" t="s">
        <v>13</v>
      </c>
      <c r="C4" s="10">
        <v>2</v>
      </c>
      <c r="D4" s="10">
        <v>3</v>
      </c>
      <c r="E4" s="10">
        <v>1</v>
      </c>
      <c r="F4" s="10">
        <v>0</v>
      </c>
      <c r="G4" s="10">
        <v>0</v>
      </c>
      <c r="H4">
        <v>0</v>
      </c>
      <c r="I4" s="8"/>
      <c r="J4" s="9">
        <f t="shared" si="0"/>
        <v>0</v>
      </c>
      <c r="L4">
        <f>1*Blad2!B2</f>
        <v>6</v>
      </c>
      <c r="M4">
        <f>-2*((Blad2!B2+Blad2!B3)+Blad2!B4)/3</f>
        <v>-10.466666666666667</v>
      </c>
      <c r="Q4">
        <f>1*((Blad2!B2+Blad2!B3)+Blad2!B4)/3</f>
        <v>5.2333333333333334</v>
      </c>
      <c r="R4">
        <f>-1*((Blad2!B2-2*Blad2!B3+Blad2!B4)/3)</f>
        <v>-3.3333333333333215E-2</v>
      </c>
      <c r="T4">
        <f>-1*((Blad2!B2+Blad2!B3-(2*Blad2!B4))/3)</f>
        <v>-0.73333333333333306</v>
      </c>
    </row>
    <row r="5" spans="1:32" x14ac:dyDescent="0.3">
      <c r="A5" s="7" t="s">
        <v>27</v>
      </c>
      <c r="B5" s="14" t="s">
        <v>28</v>
      </c>
      <c r="C5" s="10">
        <v>2</v>
      </c>
      <c r="D5" s="10">
        <v>5</v>
      </c>
      <c r="E5" s="10">
        <v>5</v>
      </c>
      <c r="F5" s="10">
        <v>0</v>
      </c>
      <c r="G5" s="10">
        <v>1</v>
      </c>
      <c r="H5">
        <v>0</v>
      </c>
      <c r="I5" s="8"/>
      <c r="J5" s="9">
        <f t="shared" si="0"/>
        <v>0</v>
      </c>
      <c r="R5">
        <f>1*((Blad2!B2-2*Blad2!B3+Blad2!B4)/3)</f>
        <v>3.3333333333333215E-2</v>
      </c>
      <c r="S5">
        <f>-1*((Blad2!B2-2*Blad2!B3+Blad2!B4)/3)</f>
        <v>-3.3333333333333215E-2</v>
      </c>
    </row>
    <row r="6" spans="1:32" x14ac:dyDescent="0.3">
      <c r="A6" s="7" t="s">
        <v>14</v>
      </c>
      <c r="B6" s="14" t="s">
        <v>15</v>
      </c>
      <c r="C6" s="10">
        <v>2</v>
      </c>
      <c r="D6" s="10">
        <v>4</v>
      </c>
      <c r="E6" s="10">
        <v>2</v>
      </c>
      <c r="F6" s="10">
        <v>0</v>
      </c>
      <c r="G6" s="10">
        <v>0</v>
      </c>
      <c r="H6">
        <v>0</v>
      </c>
      <c r="I6" s="8">
        <v>0.01</v>
      </c>
      <c r="J6" s="9">
        <f t="shared" si="0"/>
        <v>-5.2</v>
      </c>
      <c r="Q6">
        <f>-1*((Blad2!B2+Blad2!B3)+Blad2!B4)/3</f>
        <v>-5.2333333333333334</v>
      </c>
      <c r="S6">
        <f>1*((Blad2!B2-2*Blad2!B3+Blad2!B4)/3)</f>
        <v>3.3333333333333215E-2</v>
      </c>
    </row>
    <row r="7" spans="1:32" x14ac:dyDescent="0.3">
      <c r="A7" s="7" t="s">
        <v>19</v>
      </c>
      <c r="B7" s="19" t="s">
        <v>20</v>
      </c>
      <c r="C7" s="10">
        <v>4</v>
      </c>
      <c r="D7" s="10">
        <v>5</v>
      </c>
      <c r="E7" s="10">
        <v>2</v>
      </c>
      <c r="F7" s="10">
        <v>0</v>
      </c>
      <c r="G7" s="10">
        <v>0</v>
      </c>
      <c r="H7" s="10">
        <v>0</v>
      </c>
      <c r="I7" s="8"/>
      <c r="J7" s="9">
        <f t="shared" si="0"/>
        <v>0</v>
      </c>
      <c r="M7">
        <f>1*((Blad2!B2+Blad2!B3)+Blad2!B4)/3</f>
        <v>5.2333333333333334</v>
      </c>
      <c r="N7">
        <f>-1*((Blad2!B2+Blad2!B3)+Blad2!B4)/3</f>
        <v>-5.2333333333333334</v>
      </c>
    </row>
    <row r="8" spans="1:32" x14ac:dyDescent="0.3">
      <c r="A8" s="7" t="s">
        <v>59</v>
      </c>
      <c r="B8" s="19" t="s">
        <v>23</v>
      </c>
      <c r="C8" s="10">
        <v>4</v>
      </c>
      <c r="D8" s="10">
        <v>7</v>
      </c>
      <c r="E8" s="10">
        <v>2</v>
      </c>
      <c r="F8" s="10">
        <v>0</v>
      </c>
      <c r="G8" s="10">
        <v>0</v>
      </c>
      <c r="H8" s="10">
        <v>0</v>
      </c>
      <c r="I8" s="8"/>
      <c r="J8" s="9">
        <f t="shared" si="0"/>
        <v>0</v>
      </c>
      <c r="N8">
        <f>1*((Blad2!B2+Blad2!B3)+Blad2!B4)/3</f>
        <v>5.2333333333333334</v>
      </c>
      <c r="O8">
        <f>-1*((Blad2!B2+Blad2!B3)+Blad2!B4)/3</f>
        <v>-5.2333333333333334</v>
      </c>
    </row>
    <row r="9" spans="1:32" x14ac:dyDescent="0.3">
      <c r="A9" s="7" t="s">
        <v>24</v>
      </c>
      <c r="B9" s="19" t="s">
        <v>25</v>
      </c>
      <c r="C9" s="10">
        <v>4</v>
      </c>
      <c r="D9" s="10">
        <v>5</v>
      </c>
      <c r="E9" s="10">
        <v>1</v>
      </c>
      <c r="F9" s="10">
        <v>0</v>
      </c>
      <c r="G9" s="10">
        <v>0</v>
      </c>
      <c r="H9" s="10">
        <v>0</v>
      </c>
      <c r="I9" s="8"/>
      <c r="J9" s="9">
        <f t="shared" si="0"/>
        <v>0</v>
      </c>
      <c r="O9">
        <f>1*((Blad2!B2+Blad2!B3)+Blad2!B4)/3</f>
        <v>5.2333333333333334</v>
      </c>
      <c r="P9">
        <f>-1*((Blad2!B2+Blad2!B3)+Blad2!B4)/3</f>
        <v>-5.2333333333333334</v>
      </c>
    </row>
    <row r="10" spans="1:32" x14ac:dyDescent="0.3">
      <c r="A10" s="7" t="s">
        <v>22</v>
      </c>
      <c r="B10" s="19" t="s">
        <v>26</v>
      </c>
      <c r="C10" s="10">
        <v>4</v>
      </c>
      <c r="D10" s="10">
        <v>7</v>
      </c>
      <c r="E10" s="10">
        <v>1</v>
      </c>
      <c r="F10" s="10">
        <v>0</v>
      </c>
      <c r="G10" s="10">
        <v>0</v>
      </c>
      <c r="H10" s="10">
        <v>0</v>
      </c>
      <c r="I10" s="8"/>
      <c r="J10" s="9">
        <f t="shared" si="0"/>
        <v>0</v>
      </c>
      <c r="P10">
        <f>1*((Blad2!B2+Blad2!B3)+Blad2!B4)/3</f>
        <v>5.2333333333333334</v>
      </c>
      <c r="Q10">
        <f>-1*((Blad2!B2+Blad2!B3)+Blad2!B4)/3</f>
        <v>-5.2333333333333334</v>
      </c>
      <c r="T10">
        <f>-1*((Blad2!B2+Blad2!B3-(2*Blad2!B4))/3)</f>
        <v>-0.73333333333333306</v>
      </c>
      <c r="X10">
        <f>1*((Blad2!B2+Blad2!B3-(2*Blad2!B4))/3)</f>
        <v>0.73333333333333306</v>
      </c>
    </row>
    <row r="11" spans="1:32" x14ac:dyDescent="0.3">
      <c r="A11" s="7" t="s">
        <v>40</v>
      </c>
      <c r="B11" s="19" t="s">
        <v>41</v>
      </c>
      <c r="C11" s="10">
        <v>4</v>
      </c>
      <c r="D11" s="10">
        <v>8</v>
      </c>
      <c r="E11" s="10">
        <v>2</v>
      </c>
      <c r="F11" s="10">
        <v>0</v>
      </c>
      <c r="G11" s="10">
        <v>0</v>
      </c>
      <c r="H11" s="10">
        <v>0</v>
      </c>
      <c r="I11" s="8">
        <v>0.01</v>
      </c>
      <c r="J11" s="9">
        <f t="shared" si="0"/>
        <v>4.5</v>
      </c>
      <c r="Q11">
        <f>1*((Blad2!B2+Blad2!B3)+Blad2!B4)/3</f>
        <v>5.2333333333333334</v>
      </c>
      <c r="X11">
        <f>-1*((Blad2!B2+Blad2!B3-(2*Blad2!B4))/3)</f>
        <v>-0.73333333333333306</v>
      </c>
    </row>
    <row r="12" spans="1:32" x14ac:dyDescent="0.3">
      <c r="A12" s="7" t="s">
        <v>57</v>
      </c>
      <c r="B12" s="19" t="s">
        <v>63</v>
      </c>
      <c r="C12" s="10">
        <v>6</v>
      </c>
      <c r="D12" s="10">
        <v>9</v>
      </c>
      <c r="E12" s="10">
        <v>2</v>
      </c>
      <c r="F12" s="10">
        <v>0</v>
      </c>
      <c r="G12" s="10">
        <v>0</v>
      </c>
      <c r="H12" s="10">
        <v>0</v>
      </c>
      <c r="I12" s="8"/>
      <c r="J12" s="9">
        <f t="shared" si="0"/>
        <v>0</v>
      </c>
      <c r="T12">
        <f>1*((Blad2!B2+Blad2!B3-(2*Blad2!B4))/3)</f>
        <v>0.73333333333333306</v>
      </c>
      <c r="U12">
        <f>-1*((Blad2!B2+Blad2!B3-(2*Blad2!B4))/3)</f>
        <v>-0.73333333333333306</v>
      </c>
    </row>
    <row r="13" spans="1:32" x14ac:dyDescent="0.3">
      <c r="A13" s="7" t="s">
        <v>58</v>
      </c>
      <c r="B13" s="19" t="s">
        <v>64</v>
      </c>
      <c r="C13" s="10">
        <v>6</v>
      </c>
      <c r="D13" s="10">
        <v>11</v>
      </c>
      <c r="E13" s="10">
        <v>2</v>
      </c>
      <c r="F13" s="10">
        <v>0</v>
      </c>
      <c r="G13" s="10">
        <v>0</v>
      </c>
      <c r="H13" s="10">
        <v>0</v>
      </c>
      <c r="I13" s="8"/>
      <c r="J13" s="9">
        <f t="shared" si="0"/>
        <v>0</v>
      </c>
      <c r="U13">
        <f>1*((Blad2!B2+Blad2!B3-(2*Blad2!B4))/3)</f>
        <v>0.73333333333333306</v>
      </c>
      <c r="V13">
        <f>-1*((Blad2!B2+Blad2!B3-(2*Blad2!B4))/3)</f>
        <v>-0.73333333333333306</v>
      </c>
    </row>
    <row r="14" spans="1:32" x14ac:dyDescent="0.3">
      <c r="A14" s="7" t="s">
        <v>60</v>
      </c>
      <c r="B14" s="19" t="s">
        <v>65</v>
      </c>
      <c r="C14" s="10">
        <v>6</v>
      </c>
      <c r="D14" s="10">
        <v>9</v>
      </c>
      <c r="E14" s="10">
        <v>1</v>
      </c>
      <c r="F14" s="10">
        <v>0</v>
      </c>
      <c r="G14" s="10">
        <v>0</v>
      </c>
      <c r="H14" s="10">
        <v>0</v>
      </c>
      <c r="I14" s="8"/>
      <c r="J14" s="9">
        <f t="shared" si="0"/>
        <v>0</v>
      </c>
      <c r="V14">
        <f>1*((Blad2!B2+Blad2!B3-(2*Blad2!B4))/3)</f>
        <v>0.73333333333333306</v>
      </c>
      <c r="W14">
        <f>-1*((Blad2!B2+Blad2!B3-(2*Blad2!B4))/3)</f>
        <v>-0.73333333333333306</v>
      </c>
    </row>
    <row r="15" spans="1:32" x14ac:dyDescent="0.3">
      <c r="A15" s="7" t="s">
        <v>61</v>
      </c>
      <c r="B15" s="25" t="s">
        <v>66</v>
      </c>
      <c r="C15" s="10">
        <v>6</v>
      </c>
      <c r="D15" s="10">
        <v>11</v>
      </c>
      <c r="E15" s="10">
        <v>1</v>
      </c>
      <c r="F15" s="10">
        <v>0</v>
      </c>
      <c r="G15" s="10">
        <v>0</v>
      </c>
      <c r="H15" s="10">
        <v>0</v>
      </c>
      <c r="I15" s="8"/>
      <c r="J15" s="9">
        <f t="shared" si="0"/>
        <v>0</v>
      </c>
      <c r="W15">
        <f>1*((Blad2!B2+Blad2!B3-(2*Blad2!B4))/3)</f>
        <v>0.73333333333333306</v>
      </c>
      <c r="X15">
        <f>-1*((Blad2!B2+Blad2!B3-(2*Blad2!B4))/3)</f>
        <v>-0.73333333333333306</v>
      </c>
    </row>
    <row r="16" spans="1:32" x14ac:dyDescent="0.3">
      <c r="A16" s="7" t="s">
        <v>62</v>
      </c>
      <c r="B16" s="25" t="s">
        <v>67</v>
      </c>
      <c r="C16" s="10">
        <v>6</v>
      </c>
      <c r="D16" s="10">
        <v>12</v>
      </c>
      <c r="E16" s="10">
        <v>2</v>
      </c>
      <c r="F16" s="10">
        <v>0</v>
      </c>
      <c r="G16" s="10">
        <v>0</v>
      </c>
      <c r="H16" s="10">
        <v>0</v>
      </c>
      <c r="I16" s="8">
        <v>0.01</v>
      </c>
      <c r="J16" s="9">
        <f t="shared" si="0"/>
        <v>0.73333333333333306</v>
      </c>
      <c r="X16">
        <f>1*((Blad2!B2+Blad2!B3-(2*Blad2!B4))/3)</f>
        <v>0.73333333333333306</v>
      </c>
    </row>
    <row r="17" spans="1:30" x14ac:dyDescent="0.3">
      <c r="A17" s="7" t="s">
        <v>42</v>
      </c>
      <c r="B17" s="14" t="s">
        <v>43</v>
      </c>
      <c r="C17" s="10">
        <v>0</v>
      </c>
      <c r="D17" s="10">
        <v>2</v>
      </c>
      <c r="E17" s="10">
        <v>1</v>
      </c>
      <c r="F17" s="10">
        <v>0</v>
      </c>
      <c r="G17" s="10">
        <v>0</v>
      </c>
      <c r="H17">
        <v>0</v>
      </c>
      <c r="I17" s="8"/>
      <c r="J17" s="9">
        <f t="shared" si="0"/>
        <v>5.9666666666666668</v>
      </c>
      <c r="O17">
        <f>1*((Blad2!B2+Blad2!B3)+Blad2!B4)/3</f>
        <v>5.2333333333333334</v>
      </c>
      <c r="V17">
        <f>1*((Blad2!B2+Blad2!B3-(2*Blad2!B4))/3)</f>
        <v>0.73333333333333306</v>
      </c>
    </row>
    <row r="18" spans="1:30" x14ac:dyDescent="0.3">
      <c r="A18" s="7" t="s">
        <v>30</v>
      </c>
      <c r="B18" s="14" t="s">
        <v>31</v>
      </c>
      <c r="C18" s="10">
        <v>0</v>
      </c>
      <c r="D18" s="10">
        <v>2</v>
      </c>
      <c r="E18" s="10">
        <v>0</v>
      </c>
      <c r="F18" s="10">
        <v>0</v>
      </c>
      <c r="G18" s="10">
        <v>0</v>
      </c>
      <c r="H18" s="10">
        <v>0</v>
      </c>
      <c r="I18" s="8">
        <v>9.9999999999999995E-7</v>
      </c>
      <c r="J18" s="9">
        <f t="shared" si="0"/>
        <v>6.666666666666643E-2</v>
      </c>
      <c r="AA18">
        <f>(1/2)*((4*Blad2!B2-8*Blad2!B3+4*Blad2!B4)/3)</f>
        <v>6.666666666666643E-2</v>
      </c>
    </row>
    <row r="19" spans="1:30" x14ac:dyDescent="0.3">
      <c r="A19" s="7" t="s">
        <v>16</v>
      </c>
      <c r="B19" s="14" t="s">
        <v>32</v>
      </c>
      <c r="C19" s="10">
        <v>0</v>
      </c>
      <c r="D19" s="10">
        <v>1</v>
      </c>
      <c r="E19" s="10">
        <v>3</v>
      </c>
      <c r="F19" s="10">
        <v>0</v>
      </c>
      <c r="G19" s="10">
        <v>1</v>
      </c>
      <c r="H19">
        <v>0</v>
      </c>
      <c r="I19" s="8"/>
      <c r="J19" s="9">
        <f t="shared" si="0"/>
        <v>3.3333333333333215E-2</v>
      </c>
      <c r="S19">
        <f>1*((Blad2!B2-2*Blad2!B3+Blad2!B4)/3)</f>
        <v>3.3333333333333215E-2</v>
      </c>
      <c r="AB19" s="21"/>
      <c r="AC19" s="21"/>
      <c r="AD19" s="21"/>
    </row>
    <row r="20" spans="1:30" x14ac:dyDescent="0.3">
      <c r="A20" s="7" t="s">
        <v>33</v>
      </c>
      <c r="B20" s="14" t="s">
        <v>34</v>
      </c>
      <c r="C20" s="10">
        <v>0</v>
      </c>
      <c r="D20" s="10">
        <v>3</v>
      </c>
      <c r="E20" s="10">
        <v>4</v>
      </c>
      <c r="F20" s="10">
        <v>0</v>
      </c>
      <c r="G20" s="10">
        <v>1</v>
      </c>
      <c r="H20">
        <v>0</v>
      </c>
      <c r="I20" s="8"/>
      <c r="J20" s="9">
        <f t="shared" si="0"/>
        <v>-3.3333333333333215E-2</v>
      </c>
      <c r="R20">
        <f>-1*((Blad2!B2-2*Blad2!B3+Blad2!B4)/3)</f>
        <v>-3.3333333333333215E-2</v>
      </c>
      <c r="AB20" s="21"/>
      <c r="AC20" s="21"/>
      <c r="AD20" s="21"/>
    </row>
    <row r="21" spans="1:30" x14ac:dyDescent="0.3">
      <c r="A21" s="7" t="s">
        <v>35</v>
      </c>
      <c r="B21" s="14" t="s">
        <v>36</v>
      </c>
      <c r="C21" s="10">
        <v>0</v>
      </c>
      <c r="D21" s="10">
        <v>1</v>
      </c>
      <c r="E21" s="10">
        <v>0</v>
      </c>
      <c r="F21" s="10">
        <v>0</v>
      </c>
      <c r="G21" s="10">
        <v>0</v>
      </c>
      <c r="H21">
        <v>0</v>
      </c>
      <c r="I21" s="8"/>
      <c r="J21" s="9">
        <f t="shared" si="0"/>
        <v>0</v>
      </c>
      <c r="L21">
        <f>-1*Blad2!B2</f>
        <v>-6</v>
      </c>
      <c r="M21">
        <f>1*((Blad2!B2+Blad2!B3)+Blad2!B4)/3</f>
        <v>5.2333333333333334</v>
      </c>
      <c r="R21">
        <f>1*((Blad2!B2-2*Blad2!B3+Blad2!B4)/3)</f>
        <v>3.3333333333333215E-2</v>
      </c>
      <c r="T21">
        <f>1*((Blad2!B2+Blad2!B3-(2*Blad2!B4))/3)</f>
        <v>0.73333333333333306</v>
      </c>
      <c r="AB21" s="21"/>
      <c r="AC21" s="21"/>
      <c r="AD21" s="21"/>
    </row>
    <row r="22" spans="1:30" x14ac:dyDescent="0.3">
      <c r="A22" s="7" t="s">
        <v>37</v>
      </c>
      <c r="B22" s="14" t="s">
        <v>38</v>
      </c>
      <c r="C22" s="10">
        <v>0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8"/>
      <c r="J22" s="9">
        <f t="shared" si="0"/>
        <v>1.7763568394002505E-15</v>
      </c>
      <c r="P22">
        <f>2*((Blad2!B2+Blad2!B3)+Blad2!B4)/3</f>
        <v>10.466666666666667</v>
      </c>
      <c r="W22">
        <f>2*((Blad2!B2+Blad2!B3-(2*Blad2!B4))/3)</f>
        <v>1.4666666666666661</v>
      </c>
      <c r="Y22">
        <f>-1*((2*Blad2!B2+2*Blad2!B3-Blad2!B4)/3)</f>
        <v>-5.9666666666666659</v>
      </c>
      <c r="Z22">
        <f>-2*((-2*Blad2!B2+10*Blad2!B3-5*Blad2!B4)/6)</f>
        <v>-5.833333333333333</v>
      </c>
      <c r="AA22">
        <f>-1*((4*Blad2!B2-8*Blad2!B3+4*Blad2!B4)/3)</f>
        <v>-0.13333333333333286</v>
      </c>
      <c r="AB22" s="21"/>
      <c r="AC22" s="21"/>
      <c r="AD22" s="21"/>
    </row>
    <row r="23" spans="1:30" x14ac:dyDescent="0.3">
      <c r="A23" s="7" t="s">
        <v>29</v>
      </c>
      <c r="B23" s="14" t="s">
        <v>39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 s="8"/>
      <c r="J23" s="9">
        <f t="shared" si="0"/>
        <v>0</v>
      </c>
      <c r="K23">
        <f>1*Blad2!B2</f>
        <v>6</v>
      </c>
      <c r="L23">
        <f>1*Blad2!B2</f>
        <v>6</v>
      </c>
      <c r="P23">
        <f>-2*((Blad2!B2+Blad2!B3)+Blad2!B4)/3</f>
        <v>-10.466666666666667</v>
      </c>
      <c r="W23">
        <f>-2*((Blad2!B2+Blad2!B3-(2*Blad2!B4))/3)</f>
        <v>-1.4666666666666661</v>
      </c>
      <c r="Y23">
        <f>(-1/2)*((2*Blad2!B2+2*Blad2!B3-Blad2!B4)/3)</f>
        <v>-2.9833333333333329</v>
      </c>
      <c r="Z23">
        <f>1*((-2*Blad2!B2+10*Blad2!B3-5*Blad2!B4)/6)</f>
        <v>2.9166666666666665</v>
      </c>
      <c r="AB23" s="21"/>
      <c r="AC23" s="21"/>
      <c r="AD23" s="21"/>
    </row>
    <row r="24" spans="1:30" x14ac:dyDescent="0.3">
      <c r="A24" s="7" t="s">
        <v>78</v>
      </c>
      <c r="B24" s="14" t="s">
        <v>77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 s="8"/>
      <c r="J24" s="9">
        <f t="shared" si="0"/>
        <v>0</v>
      </c>
      <c r="N24">
        <f>-1*((Blad2!B2+Blad2!B3)+Blad2!B4)/3</f>
        <v>-5.2333333333333334</v>
      </c>
      <c r="U24">
        <f>-1*((Blad2!B2+Blad2!B3-(2*Blad2!B4))/3)</f>
        <v>-0.73333333333333306</v>
      </c>
      <c r="Y24">
        <f>1*((2*Blad2!B2+2*Blad2!B3-Blad2!B4)/3)</f>
        <v>5.9666666666666659</v>
      </c>
      <c r="AB24" s="21"/>
      <c r="AC24" s="21"/>
      <c r="AD24" s="21"/>
    </row>
    <row r="25" spans="1:30" x14ac:dyDescent="0.3">
      <c r="A25" s="11" t="s">
        <v>8</v>
      </c>
      <c r="B25" s="6"/>
      <c r="I25" s="8"/>
      <c r="J25" s="9"/>
    </row>
  </sheetData>
  <conditionalFormatting sqref="K25:AC26 AB27:AC30">
    <cfRule type="cellIs" dxfId="2" priority="3" operator="greaterThan">
      <formula>0.000000000001</formula>
    </cfRule>
    <cfRule type="cellIs" priority="4" operator="notEqual">
      <formula>0</formula>
    </cfRule>
  </conditionalFormatting>
  <conditionalFormatting sqref="AA18">
    <cfRule type="cellIs" dxfId="1" priority="2" operator="lessThan">
      <formula>0</formula>
    </cfRule>
  </conditionalFormatting>
  <conditionalFormatting sqref="Z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5BB5-DD69-4B61-96E2-E73D671873EC}">
  <dimension ref="A1:C8"/>
  <sheetViews>
    <sheetView workbookViewId="0">
      <selection activeCell="B4" sqref="B4"/>
    </sheetView>
  </sheetViews>
  <sheetFormatPr defaultRowHeight="14.4" x14ac:dyDescent="0.3"/>
  <cols>
    <col min="3" max="3" width="30.21875" customWidth="1"/>
  </cols>
  <sheetData>
    <row r="1" spans="1:3" x14ac:dyDescent="0.3">
      <c r="A1" s="12"/>
    </row>
    <row r="2" spans="1:3" x14ac:dyDescent="0.3">
      <c r="A2" s="15" t="s">
        <v>17</v>
      </c>
      <c r="B2" s="16">
        <v>6</v>
      </c>
      <c r="C2" s="17" t="s">
        <v>73</v>
      </c>
    </row>
    <row r="3" spans="1:3" x14ac:dyDescent="0.3">
      <c r="A3" s="15" t="s">
        <v>18</v>
      </c>
      <c r="B3" s="16">
        <v>5.2</v>
      </c>
      <c r="C3" s="18" t="s">
        <v>74</v>
      </c>
    </row>
    <row r="4" spans="1:3" x14ac:dyDescent="0.3">
      <c r="A4" s="15" t="s">
        <v>76</v>
      </c>
      <c r="B4" s="16">
        <v>4.5</v>
      </c>
      <c r="C4" s="18" t="s">
        <v>75</v>
      </c>
    </row>
    <row r="5" spans="1:3" x14ac:dyDescent="0.3">
      <c r="C5" s="18"/>
    </row>
    <row r="8" spans="1:3" x14ac:dyDescent="0.3">
      <c r="B8" s="2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2021-10-29T08:46:16Z</dcterms:created>
  <dcterms:modified xsi:type="dcterms:W3CDTF">2022-02-09T13:39:52Z</dcterms:modified>
</cp:coreProperties>
</file>