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_E1">Лист1!$B$2</definedName>
    <definedName name="_E1_1">Лист1!$B$82</definedName>
    <definedName name="_E7">Лист1!$B$3</definedName>
    <definedName name="_E7_1">Лист1!$B$83</definedName>
    <definedName name="_E7_2">Лист1!$E$83</definedName>
    <definedName name="_Eg">Лист1!$B$152</definedName>
    <definedName name="_Ek_1">Лист1!$B$86:$B$88</definedName>
    <definedName name="_Ek_2">Лист1!$E$86:$E$88</definedName>
    <definedName name="_Ek_3">Лист1!$H$86:$H$88</definedName>
    <definedName name="_Ek_g">Лист1!$E$132:$E$133</definedName>
    <definedName name="_Fi">Лист1!$I$53:$I$55</definedName>
    <definedName name="_Fi1">Лист1!$I$52</definedName>
    <definedName name="_Fi2">Лист1!$I$53</definedName>
    <definedName name="_Fi3">Лист1!$I$54</definedName>
    <definedName name="_Fi4">Лист1!$I$55</definedName>
    <definedName name="_Fi5">Лист1!$I$56</definedName>
    <definedName name="_fiA">Лист1!$B$70</definedName>
    <definedName name="_fiB">Лист1!$B$71</definedName>
    <definedName name="_fiC">Лист1!$B$72</definedName>
    <definedName name="_fiD">Лист1!$B$73</definedName>
    <definedName name="_fiE">Лист1!$B$74</definedName>
    <definedName name="_G">Лист1!$B$53:$D$55</definedName>
    <definedName name="_G1">Лист1!$B$43</definedName>
    <definedName name="_G2">Лист1!$B$44</definedName>
    <definedName name="_G3">Лист1!$B$45</definedName>
    <definedName name="_G4">Лист1!$B$46</definedName>
    <definedName name="_G5">Лист1!$B$47</definedName>
    <definedName name="_G51">Лист1!$B$110</definedName>
    <definedName name="_G57">Лист1!$E$110</definedName>
    <definedName name="_G6">Лист1!$B$48</definedName>
    <definedName name="_I1">Лист1!$B$20</definedName>
    <definedName name="_I2">Лист1!$B$21</definedName>
    <definedName name="_I2g">Лист1!$B$137</definedName>
    <definedName name="_I3">Лист1!$B$22</definedName>
    <definedName name="_I3g">Лист1!$B$138</definedName>
    <definedName name="_I4">Лист1!$B$23</definedName>
    <definedName name="_I4g">Лист1!$B$139</definedName>
    <definedName name="_I5">Лист1!$B$24</definedName>
    <definedName name="_I5g">Лист1!$B$140</definedName>
    <definedName name="_I6">Лист1!$B$25</definedName>
    <definedName name="_I6g">Лист1!$B$141</definedName>
    <definedName name="_I7">Лист1!$B$26</definedName>
    <definedName name="_I7g">Лист1!$B$142</definedName>
    <definedName name="_I8">Лист1!$B$27</definedName>
    <definedName name="_I8_1">Лист1!$B$84</definedName>
    <definedName name="_I8g">Лист1!$B$143</definedName>
    <definedName name="_Ik1">Лист1!$I$14</definedName>
    <definedName name="_Ik1_1">Лист1!$B$90</definedName>
    <definedName name="_Ik1_2">Лист1!$E$90</definedName>
    <definedName name="_Ik1_3">Лист1!$H$90</definedName>
    <definedName name="_Ik1_g">Лист1!$M$132</definedName>
    <definedName name="_Ik2">Лист1!$I$15</definedName>
    <definedName name="_Ik2_1">Лист1!$B$91</definedName>
    <definedName name="_Ik2_2">Лист1!$E$91</definedName>
    <definedName name="_Ik2_3">Лист1!$H$91</definedName>
    <definedName name="_Ik2_g">Лист1!$M$133</definedName>
    <definedName name="_Ik3">Лист1!$I$16</definedName>
    <definedName name="_Ik3_1">Лист1!$B$92</definedName>
    <definedName name="_Ik3_2">Лист1!$E$92</definedName>
    <definedName name="_Ik3_3">Лист1!$H$92</definedName>
    <definedName name="_Ik3_g">Лист1!$M$134</definedName>
    <definedName name="_Ik4">Лист1!$I$17</definedName>
    <definedName name="_Ik4_1">Лист1!$B$93</definedName>
    <definedName name="_Ik4_2">Лист1!$E$93</definedName>
    <definedName name="_Ik4_3">Лист1!$H$93</definedName>
    <definedName name="_InverseRk">Лист1!$L$14:$N$16</definedName>
    <definedName name="_InverseRk_g">Лист1!$G$132:$H$133</definedName>
    <definedName name="_Iv">Лист1!$F$53:$F$55</definedName>
    <definedName name="_J">Лист1!$B$4</definedName>
    <definedName name="_J8_1">Лист1!$B$84</definedName>
    <definedName name="_J8_2">Лист1!$E$84</definedName>
    <definedName name="_J8_3">Лист1!$H$84</definedName>
    <definedName name="_K58">Лист1!$H$110</definedName>
    <definedName name="_R1">Лист1!$B$5</definedName>
    <definedName name="_R1_s">Лист1!$B$147</definedName>
    <definedName name="_R2">Лист1!$B$6</definedName>
    <definedName name="_R2_s">Лист1!$B$148</definedName>
    <definedName name="_R3">Лист1!$B$7</definedName>
    <definedName name="_r3_s">Лист1!$B$149</definedName>
    <definedName name="_R4">Лист1!$B$8</definedName>
    <definedName name="_R5">Лист1!$B$9</definedName>
    <definedName name="_R6">Лист1!$B$10</definedName>
    <definedName name="_RA">Лист1!$E$70</definedName>
    <definedName name="_RB">Лист1!$E$71</definedName>
    <definedName name="_RC">Лист1!$E$72</definedName>
    <definedName name="_RD">Лист1!$E$73</definedName>
    <definedName name="_RE">Лист1!$E$74</definedName>
    <definedName name="_Rg">Лист1!$B$151</definedName>
    <definedName name="_Rk_1">Лист1!$A$132:$B$133</definedName>
    <definedName name="_Rk_2">Лист1!$A$132:$C$134</definedName>
    <definedName name="_Rk_g">Лист1!$A$132:$B$133</definedName>
    <definedName name="_U31">Лист1!$F$30</definedName>
    <definedName name="E1_">Лист1!$B$2</definedName>
    <definedName name="E7_">Лист1!$B$3</definedName>
    <definedName name="Ek">Лист1!$F$14:$F$16</definedName>
    <definedName name="Fi">Лист1!$I$53:$I$55</definedName>
    <definedName name="G">Лист1!$B$53:$D$55</definedName>
    <definedName name="Ik">Лист1!$I$14:$I$16</definedName>
    <definedName name="J">Лист1!$B$4</definedName>
    <definedName name="Rk">Лист1!$A$14:$C$16</definedName>
  </definedNames>
  <calcPr calcId="145621"/>
</workbook>
</file>

<file path=xl/calcChain.xml><?xml version="1.0" encoding="utf-8"?>
<calcChain xmlns="http://schemas.openxmlformats.org/spreadsheetml/2006/main">
  <c r="B152" i="1" l="1"/>
  <c r="B157" i="1" l="1"/>
  <c r="B151" i="1"/>
  <c r="B149" i="1"/>
  <c r="B148" i="1"/>
  <c r="B147" i="1"/>
  <c r="M134" i="1"/>
  <c r="B143" i="1" s="1"/>
  <c r="C133" i="1"/>
  <c r="E133" i="1" s="1"/>
  <c r="C132" i="1"/>
  <c r="E132" i="1" s="1"/>
  <c r="B132" i="1"/>
  <c r="A133" i="1" s="1"/>
  <c r="B133" i="1"/>
  <c r="A132" i="1"/>
  <c r="H84" i="1"/>
  <c r="H103" i="1" s="1"/>
  <c r="H113" i="1" s="1"/>
  <c r="H82" i="1"/>
  <c r="E103" i="1"/>
  <c r="E83" i="1"/>
  <c r="E82" i="1"/>
  <c r="B82" i="1"/>
  <c r="E88" i="1"/>
  <c r="B103" i="1"/>
  <c r="B88" i="1"/>
  <c r="B86" i="1"/>
  <c r="E113" i="1" l="1"/>
  <c r="B113" i="1"/>
  <c r="H93" i="1"/>
  <c r="H87" i="1" s="1"/>
  <c r="G132" i="1" a="1"/>
  <c r="G133" i="1" s="1"/>
  <c r="E86" i="1"/>
  <c r="B87" i="1"/>
  <c r="E71" i="1"/>
  <c r="E72" i="1" s="1"/>
  <c r="E73" i="1" s="1"/>
  <c r="E74" i="1" s="1"/>
  <c r="E75" i="1" s="1"/>
  <c r="B123" i="1" l="1"/>
  <c r="H86" i="1"/>
  <c r="H133" i="1"/>
  <c r="G132" i="1"/>
  <c r="H132" i="1"/>
  <c r="B66" i="1"/>
  <c r="I52" i="1"/>
  <c r="A55" i="1"/>
  <c r="A54" i="1"/>
  <c r="B48" i="1"/>
  <c r="D53" i="1" s="1"/>
  <c r="B47" i="1"/>
  <c r="A53" i="1" s="1"/>
  <c r="B46" i="1"/>
  <c r="B45" i="1"/>
  <c r="B44" i="1"/>
  <c r="B43" i="1"/>
  <c r="C53" i="1" s="1"/>
  <c r="B54" i="1" s="1"/>
  <c r="B27" i="1"/>
  <c r="F16" i="1"/>
  <c r="D15" i="1"/>
  <c r="F15" i="1" s="1"/>
  <c r="C15" i="1"/>
  <c r="B16" i="1" s="1"/>
  <c r="D14" i="1"/>
  <c r="F14" i="1" s="1"/>
  <c r="C14" i="1"/>
  <c r="A16" i="1" s="1"/>
  <c r="B14" i="1"/>
  <c r="A15" i="1" s="1"/>
  <c r="C16" i="1"/>
  <c r="B15" i="1"/>
  <c r="A14" i="1"/>
  <c r="D123" i="1" l="1"/>
  <c r="M132" i="1" a="1"/>
  <c r="M133" i="1" s="1"/>
  <c r="F54" i="1"/>
  <c r="F55" i="1"/>
  <c r="F53" i="1"/>
  <c r="D55" i="1"/>
  <c r="D66" i="1"/>
  <c r="L14" i="1" a="1"/>
  <c r="B53" i="1"/>
  <c r="D54" i="1"/>
  <c r="C55" i="1" s="1"/>
  <c r="C54" i="1"/>
  <c r="B55" i="1"/>
  <c r="M132" i="1" l="1"/>
  <c r="B137" i="1"/>
  <c r="B138" i="1"/>
  <c r="B141" i="1"/>
  <c r="B140" i="1"/>
  <c r="B139" i="1"/>
  <c r="B142" i="1"/>
  <c r="L15" i="1"/>
  <c r="L16" i="1"/>
  <c r="N16" i="1"/>
  <c r="N14" i="1"/>
  <c r="M15" i="1"/>
  <c r="N15" i="1"/>
  <c r="L14" i="1"/>
  <c r="M14" i="1"/>
  <c r="M16" i="1"/>
  <c r="B154" i="1" l="1"/>
  <c r="F138" i="1"/>
  <c r="F139" i="1"/>
  <c r="F140" i="1"/>
  <c r="F141" i="1"/>
  <c r="E90" i="1" a="1"/>
  <c r="H90" i="1" a="1"/>
  <c r="I14" i="1" a="1"/>
  <c r="I16" i="1" s="1"/>
  <c r="B90" i="1" a="1"/>
  <c r="H91" i="1" l="1"/>
  <c r="H92" i="1"/>
  <c r="H90" i="1"/>
  <c r="E91" i="1"/>
  <c r="E90" i="1"/>
  <c r="E92" i="1"/>
  <c r="B22" i="1"/>
  <c r="I14" i="1"/>
  <c r="B24" i="1" s="1"/>
  <c r="I15" i="1"/>
  <c r="B21" i="1" s="1"/>
  <c r="B78" i="1" s="1"/>
  <c r="B90" i="1"/>
  <c r="B92" i="1"/>
  <c r="B91" i="1"/>
  <c r="B20" i="1"/>
  <c r="B155" i="1" s="1"/>
  <c r="I53" i="1" a="1"/>
  <c r="E99" i="1" l="1"/>
  <c r="E109" i="1" s="1"/>
  <c r="E98" i="1"/>
  <c r="E108" i="1" s="1"/>
  <c r="H98" i="1"/>
  <c r="H108" i="1" s="1"/>
  <c r="H99" i="1"/>
  <c r="H109" i="1" s="1"/>
  <c r="E100" i="1"/>
  <c r="E110" i="1" s="1"/>
  <c r="E102" i="1"/>
  <c r="E112" i="1" s="1"/>
  <c r="H96" i="1"/>
  <c r="H106" i="1" s="1"/>
  <c r="H101" i="1"/>
  <c r="H111" i="1" s="1"/>
  <c r="H97" i="1"/>
  <c r="H107" i="1" s="1"/>
  <c r="E97" i="1"/>
  <c r="E107" i="1" s="1"/>
  <c r="E101" i="1"/>
  <c r="E111" i="1" s="1"/>
  <c r="E96" i="1"/>
  <c r="E106" i="1" s="1"/>
  <c r="H102" i="1"/>
  <c r="H112" i="1" s="1"/>
  <c r="H100" i="1"/>
  <c r="H110" i="1" s="1"/>
  <c r="B26" i="1"/>
  <c r="B35" i="1" s="1"/>
  <c r="B99" i="1"/>
  <c r="B109" i="1" s="1"/>
  <c r="B98" i="1"/>
  <c r="B108" i="1" s="1"/>
  <c r="B23" i="1"/>
  <c r="F30" i="1"/>
  <c r="B30" i="1" s="1"/>
  <c r="B25" i="1"/>
  <c r="B36" i="1" s="1"/>
  <c r="B101" i="1"/>
  <c r="B111" i="1" s="1"/>
  <c r="B97" i="1"/>
  <c r="B107" i="1" s="1"/>
  <c r="B96" i="1"/>
  <c r="B106" i="1" s="1"/>
  <c r="B100" i="1"/>
  <c r="B110" i="1" s="1"/>
  <c r="B102" i="1"/>
  <c r="B112" i="1" s="1"/>
  <c r="B71" i="1"/>
  <c r="B72" i="1" s="1"/>
  <c r="B73" i="1" s="1"/>
  <c r="B74" i="1" s="1"/>
  <c r="B75" i="1" s="1"/>
  <c r="B65" i="1"/>
  <c r="B37" i="1"/>
  <c r="I54" i="1"/>
  <c r="I53" i="1"/>
  <c r="I55" i="1"/>
  <c r="B120" i="1" l="1"/>
  <c r="D120" i="1" s="1"/>
  <c r="B122" i="1"/>
  <c r="D122" i="1" s="1"/>
  <c r="B117" i="1"/>
  <c r="D117" i="1" s="1"/>
  <c r="B126" i="1"/>
  <c r="B121" i="1"/>
  <c r="D121" i="1" s="1"/>
  <c r="B119" i="1"/>
  <c r="D119" i="1" s="1"/>
  <c r="B38" i="1"/>
  <c r="B32" i="1"/>
  <c r="B116" i="1"/>
  <c r="D116" i="1" s="1"/>
  <c r="B118" i="1"/>
  <c r="D118" i="1" s="1"/>
  <c r="D65" i="1"/>
  <c r="B39" i="1"/>
  <c r="B60" i="1"/>
  <c r="D60" i="1" s="1"/>
  <c r="B61" i="1"/>
  <c r="D61" i="1" s="1"/>
  <c r="B62" i="1"/>
  <c r="D62" i="1" s="1"/>
  <c r="B64" i="1"/>
  <c r="D64" i="1" s="1"/>
  <c r="B63" i="1"/>
  <c r="D63" i="1" s="1"/>
  <c r="B59" i="1"/>
  <c r="D59" i="1" s="1"/>
</calcChain>
</file>

<file path=xl/sharedStrings.xml><?xml version="1.0" encoding="utf-8"?>
<sst xmlns="http://schemas.openxmlformats.org/spreadsheetml/2006/main" count="222" uniqueCount="115">
  <si>
    <t>Входные данные</t>
  </si>
  <si>
    <t>E1</t>
  </si>
  <si>
    <t>E7</t>
  </si>
  <si>
    <t>J</t>
  </si>
  <si>
    <t>R1</t>
  </si>
  <si>
    <t>R2</t>
  </si>
  <si>
    <t>R3</t>
  </si>
  <si>
    <t>R4</t>
  </si>
  <si>
    <t>R5</t>
  </si>
  <si>
    <t>R6</t>
  </si>
  <si>
    <t>Матрица сопротивлений Rk</t>
  </si>
  <si>
    <t>Ik</t>
  </si>
  <si>
    <t>Ik1</t>
  </si>
  <si>
    <t>Ik2</t>
  </si>
  <si>
    <t>Ik3</t>
  </si>
  <si>
    <t>Ek</t>
  </si>
  <si>
    <t>Ik4</t>
  </si>
  <si>
    <t>Токи узлов</t>
  </si>
  <si>
    <t>I1</t>
  </si>
  <si>
    <t>I2</t>
  </si>
  <si>
    <t>I3</t>
  </si>
  <si>
    <t>I4</t>
  </si>
  <si>
    <t>I5</t>
  </si>
  <si>
    <t>I6</t>
  </si>
  <si>
    <t>I7</t>
  </si>
  <si>
    <t>Проверка балансом мощьностей</t>
  </si>
  <si>
    <t>U31</t>
  </si>
  <si>
    <t>I8</t>
  </si>
  <si>
    <t>Потребляемая</t>
  </si>
  <si>
    <t>Генерируемая</t>
  </si>
  <si>
    <t>Pг</t>
  </si>
  <si>
    <t>Pп</t>
  </si>
  <si>
    <t>1 закон</t>
  </si>
  <si>
    <t>1 узел</t>
  </si>
  <si>
    <t>2 узел</t>
  </si>
  <si>
    <t>3 узел</t>
  </si>
  <si>
    <t>4 узел</t>
  </si>
  <si>
    <t>5 узел</t>
  </si>
  <si>
    <t>Метод контурных токов</t>
  </si>
  <si>
    <t>Метод узловых потенциалов</t>
  </si>
  <si>
    <t>Проводимости</t>
  </si>
  <si>
    <t>G1</t>
  </si>
  <si>
    <t>G2</t>
  </si>
  <si>
    <t>G3</t>
  </si>
  <si>
    <t>G4</t>
  </si>
  <si>
    <t>G5</t>
  </si>
  <si>
    <t>G6</t>
  </si>
  <si>
    <t>G</t>
  </si>
  <si>
    <t>Iv</t>
  </si>
  <si>
    <t>fi</t>
  </si>
  <si>
    <t>fi1</t>
  </si>
  <si>
    <t>fi2</t>
  </si>
  <si>
    <t>fi3</t>
  </si>
  <si>
    <t>fi4</t>
  </si>
  <si>
    <t>fi5</t>
  </si>
  <si>
    <t>ΔI</t>
  </si>
  <si>
    <t>Проверта законами Кирхгофа</t>
  </si>
  <si>
    <t>Потенциальная диаграмма</t>
  </si>
  <si>
    <t>fiA</t>
  </si>
  <si>
    <t>fiB</t>
  </si>
  <si>
    <t>fiC</t>
  </si>
  <si>
    <t>fiD</t>
  </si>
  <si>
    <t>fiE</t>
  </si>
  <si>
    <t>R</t>
  </si>
  <si>
    <t>RA</t>
  </si>
  <si>
    <t>RB</t>
  </si>
  <si>
    <t>RC</t>
  </si>
  <si>
    <t>RD</t>
  </si>
  <si>
    <t>RE</t>
  </si>
  <si>
    <t>Показания вольтметра</t>
  </si>
  <si>
    <t>U</t>
  </si>
  <si>
    <t>Метод наложения</t>
  </si>
  <si>
    <t>Обратная матрица сопротивлений Rk</t>
  </si>
  <si>
    <t>J8</t>
  </si>
  <si>
    <t>Часть 1</t>
  </si>
  <si>
    <t xml:space="preserve"> </t>
  </si>
  <si>
    <t>Ek1</t>
  </si>
  <si>
    <t>Ek2</t>
  </si>
  <si>
    <t>Ek3</t>
  </si>
  <si>
    <t>G11</t>
  </si>
  <si>
    <t>G21</t>
  </si>
  <si>
    <t>G31</t>
  </si>
  <si>
    <t>G41</t>
  </si>
  <si>
    <t>G51</t>
  </si>
  <si>
    <t>G61</t>
  </si>
  <si>
    <t>G71</t>
  </si>
  <si>
    <t>G81</t>
  </si>
  <si>
    <t>Часть 2</t>
  </si>
  <si>
    <t>G27</t>
  </si>
  <si>
    <t>G17</t>
  </si>
  <si>
    <t>G37</t>
  </si>
  <si>
    <t>G47</t>
  </si>
  <si>
    <t>G57</t>
  </si>
  <si>
    <t>G67</t>
  </si>
  <si>
    <t>G77</t>
  </si>
  <si>
    <t>G87</t>
  </si>
  <si>
    <t>Часть 3</t>
  </si>
  <si>
    <t>k</t>
  </si>
  <si>
    <t>K18</t>
  </si>
  <si>
    <t>K28</t>
  </si>
  <si>
    <t>K38</t>
  </si>
  <si>
    <t>K48</t>
  </si>
  <si>
    <t>K58</t>
  </si>
  <si>
    <t>K68</t>
  </si>
  <si>
    <t>K78</t>
  </si>
  <si>
    <t>K88</t>
  </si>
  <si>
    <t>Проверка</t>
  </si>
  <si>
    <t>Дополнительное задание</t>
  </si>
  <si>
    <t>Метод еквивалентного генератора</t>
  </si>
  <si>
    <t>Переход от треугольника к звезде</t>
  </si>
  <si>
    <t>R1'</t>
  </si>
  <si>
    <t>R2'</t>
  </si>
  <si>
    <t>R3'</t>
  </si>
  <si>
    <t>Rg</t>
  </si>
  <si>
    <t>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</si>
</sst>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1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7"/>
  <sheetViews>
    <sheetView tabSelected="1" topLeftCell="A135" workbookViewId="0">
      <selection activeCell="B152" sqref="B152"/>
    </sheetView>
  </sheetViews>
  <sheetFormatPr defaultRowHeight="15" x14ac:dyDescent="0.25"/>
  <cols>
    <col min="2" max="2" width="10.42578125" customWidth="1"/>
    <col min="4" max="4" width="10.7109375" customWidth="1"/>
    <col min="5" max="5" width="10.28515625" bestFit="1" customWidth="1"/>
    <col min="6" max="6" width="11" customWidth="1"/>
    <col min="7" max="7" width="10.7109375" customWidth="1"/>
    <col min="9" max="9" width="9.5703125" customWidth="1"/>
    <col min="13" max="13" width="10" customWidth="1"/>
  </cols>
  <sheetData>
    <row r="1" spans="1:14" x14ac:dyDescent="0.25">
      <c r="A1" t="s">
        <v>0</v>
      </c>
    </row>
    <row r="2" spans="1:14" x14ac:dyDescent="0.25">
      <c r="A2" s="1" t="s">
        <v>1</v>
      </c>
      <c r="B2" s="1">
        <v>300</v>
      </c>
    </row>
    <row r="3" spans="1:14" x14ac:dyDescent="0.25">
      <c r="A3" s="1" t="s">
        <v>2</v>
      </c>
      <c r="B3" s="1">
        <v>350</v>
      </c>
    </row>
    <row r="4" spans="1:14" x14ac:dyDescent="0.25">
      <c r="A4" s="1" t="s">
        <v>3</v>
      </c>
      <c r="B4" s="1">
        <v>30</v>
      </c>
    </row>
    <row r="5" spans="1:14" x14ac:dyDescent="0.25">
      <c r="A5" s="1" t="s">
        <v>4</v>
      </c>
      <c r="B5" s="1">
        <v>50</v>
      </c>
    </row>
    <row r="6" spans="1:14" x14ac:dyDescent="0.25">
      <c r="A6" s="1" t="s">
        <v>5</v>
      </c>
      <c r="B6" s="1">
        <v>45</v>
      </c>
    </row>
    <row r="7" spans="1:14" x14ac:dyDescent="0.25">
      <c r="A7" s="1" t="s">
        <v>6</v>
      </c>
      <c r="B7" s="1">
        <v>40</v>
      </c>
    </row>
    <row r="8" spans="1:14" x14ac:dyDescent="0.25">
      <c r="A8" s="1" t="s">
        <v>7</v>
      </c>
      <c r="B8" s="1">
        <v>30</v>
      </c>
    </row>
    <row r="9" spans="1:14" x14ac:dyDescent="0.25">
      <c r="A9" s="1" t="s">
        <v>8</v>
      </c>
      <c r="B9" s="1">
        <v>35</v>
      </c>
    </row>
    <row r="10" spans="1:14" x14ac:dyDescent="0.25">
      <c r="A10" s="1" t="s">
        <v>9</v>
      </c>
      <c r="B10" s="1">
        <v>20</v>
      </c>
    </row>
    <row r="11" spans="1:14" x14ac:dyDescent="0.25">
      <c r="E11" t="s">
        <v>38</v>
      </c>
    </row>
    <row r="13" spans="1:14" x14ac:dyDescent="0.25">
      <c r="A13" t="s">
        <v>10</v>
      </c>
      <c r="F13" t="s">
        <v>15</v>
      </c>
      <c r="H13" t="s">
        <v>11</v>
      </c>
      <c r="L13" t="s">
        <v>72</v>
      </c>
    </row>
    <row r="14" spans="1:14" x14ac:dyDescent="0.25">
      <c r="A14" s="3">
        <f>_R6+_R5+_R4</f>
        <v>85</v>
      </c>
      <c r="B14" s="3">
        <f>-_R6</f>
        <v>-20</v>
      </c>
      <c r="C14" s="3">
        <f>-_R4</f>
        <v>-30</v>
      </c>
      <c r="D14" s="3">
        <f>-_R5</f>
        <v>-35</v>
      </c>
      <c r="F14" s="1">
        <f>_E7-D14*I17</f>
        <v>1400</v>
      </c>
      <c r="H14" s="3" t="s">
        <v>12</v>
      </c>
      <c r="I14" s="4">
        <f t="array" ref="I14:I16">MMULT(_InverseRk,Ek)</f>
        <v>29.726118904475619</v>
      </c>
      <c r="L14" s="1">
        <f t="array" ref="L14:N16">MINVERSE(Rk)</f>
        <v>1.4963259853039413E-2</v>
      </c>
      <c r="M14" s="1">
        <v>4.8764195056780237E-3</v>
      </c>
      <c r="N14" s="1">
        <v>5.8116232464929867E-3</v>
      </c>
    </row>
    <row r="15" spans="1:14" x14ac:dyDescent="0.25">
      <c r="A15" s="3">
        <f>B14</f>
        <v>-20</v>
      </c>
      <c r="B15" s="3">
        <f>_R1+_R2+_R6</f>
        <v>115</v>
      </c>
      <c r="C15" s="3">
        <f>-_R2</f>
        <v>-45</v>
      </c>
      <c r="D15" s="3">
        <f>-_R1</f>
        <v>-50</v>
      </c>
      <c r="F15" s="1">
        <f>_E1-D15*I17</f>
        <v>1800</v>
      </c>
      <c r="H15" s="3" t="s">
        <v>13</v>
      </c>
      <c r="I15" s="4">
        <v>28.169672678690716</v>
      </c>
      <c r="L15" s="1">
        <v>4.8764195056780228E-3</v>
      </c>
      <c r="M15" s="1">
        <v>1.1857047428189714E-2</v>
      </c>
      <c r="N15" s="1">
        <v>5.9118236472945904E-3</v>
      </c>
    </row>
    <row r="16" spans="1:14" x14ac:dyDescent="0.25">
      <c r="A16" s="3">
        <f>C14</f>
        <v>-30</v>
      </c>
      <c r="B16" s="3">
        <f>C15</f>
        <v>-45</v>
      </c>
      <c r="C16" s="3">
        <f>_R2+_R3+_R4</f>
        <v>115</v>
      </c>
      <c r="D16" s="3">
        <v>0</v>
      </c>
      <c r="F16" s="1">
        <f>0-D16*I17</f>
        <v>0</v>
      </c>
      <c r="H16" s="3" t="s">
        <v>14</v>
      </c>
      <c r="I16" s="4">
        <v>18.777555110220444</v>
      </c>
      <c r="L16" s="1">
        <v>5.8116232464929867E-3</v>
      </c>
      <c r="M16" s="1">
        <v>5.9118236472945904E-3</v>
      </c>
      <c r="N16" s="1">
        <v>1.2525050100200403E-2</v>
      </c>
    </row>
    <row r="17" spans="1:9" x14ac:dyDescent="0.25">
      <c r="A17" s="3"/>
      <c r="B17" s="3"/>
      <c r="C17" s="3"/>
      <c r="D17" s="3"/>
      <c r="F17" s="1"/>
      <c r="H17" s="3" t="s">
        <v>16</v>
      </c>
      <c r="I17" s="3">
        <v>30</v>
      </c>
    </row>
    <row r="18" spans="1:9" x14ac:dyDescent="0.25">
      <c r="A18" s="2"/>
      <c r="B18" s="2"/>
      <c r="C18" s="2"/>
      <c r="D18" s="2"/>
    </row>
    <row r="19" spans="1:9" x14ac:dyDescent="0.25">
      <c r="A19" s="2" t="s">
        <v>17</v>
      </c>
      <c r="B19" s="2"/>
      <c r="C19" s="2"/>
      <c r="D19" s="2"/>
    </row>
    <row r="20" spans="1:9" x14ac:dyDescent="0.25">
      <c r="A20" s="1" t="s">
        <v>18</v>
      </c>
      <c r="B20" s="7">
        <f>_Ik2-_Ik4</f>
        <v>-1.8303273213092837</v>
      </c>
    </row>
    <row r="21" spans="1:9" x14ac:dyDescent="0.25">
      <c r="A21" s="1" t="s">
        <v>19</v>
      </c>
      <c r="B21" s="7">
        <f>_Ik2-_Ik3</f>
        <v>9.3921175684702725</v>
      </c>
    </row>
    <row r="22" spans="1:9" x14ac:dyDescent="0.25">
      <c r="A22" s="1" t="s">
        <v>20</v>
      </c>
      <c r="B22" s="7">
        <f>_Ik3</f>
        <v>18.777555110220444</v>
      </c>
    </row>
    <row r="23" spans="1:9" x14ac:dyDescent="0.25">
      <c r="A23" s="1" t="s">
        <v>21</v>
      </c>
      <c r="B23" s="7">
        <f>_Ik3-_Ik1</f>
        <v>-10.948563794255175</v>
      </c>
    </row>
    <row r="24" spans="1:9" x14ac:dyDescent="0.25">
      <c r="A24" s="1" t="s">
        <v>22</v>
      </c>
      <c r="B24" s="7">
        <f>_Ik1-_Ik4</f>
        <v>-0.27388109552438067</v>
      </c>
    </row>
    <row r="25" spans="1:9" x14ac:dyDescent="0.25">
      <c r="A25" s="1" t="s">
        <v>23</v>
      </c>
      <c r="B25" s="7">
        <f>_Ik2-_Ik1</f>
        <v>-1.556446225784903</v>
      </c>
    </row>
    <row r="26" spans="1:9" x14ac:dyDescent="0.25">
      <c r="A26" s="1" t="s">
        <v>24</v>
      </c>
      <c r="B26" s="7">
        <f>_Ik1</f>
        <v>29.726118904475619</v>
      </c>
    </row>
    <row r="27" spans="1:9" x14ac:dyDescent="0.25">
      <c r="A27" s="1" t="s">
        <v>27</v>
      </c>
      <c r="B27" s="1">
        <f>_J</f>
        <v>30</v>
      </c>
    </row>
    <row r="28" spans="1:9" x14ac:dyDescent="0.25">
      <c r="A28" t="s">
        <v>25</v>
      </c>
    </row>
    <row r="29" spans="1:9" x14ac:dyDescent="0.25">
      <c r="A29" t="s">
        <v>29</v>
      </c>
    </row>
    <row r="30" spans="1:9" x14ac:dyDescent="0.25">
      <c r="A30" t="s">
        <v>30</v>
      </c>
      <c r="B30">
        <f>_I7*_E7+_I1*_E1+_I8*_U31</f>
        <v>21888.109552438207</v>
      </c>
      <c r="E30" t="s">
        <v>26</v>
      </c>
      <c r="F30">
        <f>_E1 -_I1*_R1 -_I5*_R5</f>
        <v>401.1022044088175</v>
      </c>
    </row>
    <row r="31" spans="1:9" x14ac:dyDescent="0.25">
      <c r="A31" t="s">
        <v>28</v>
      </c>
    </row>
    <row r="32" spans="1:9" x14ac:dyDescent="0.25">
      <c r="A32" t="s">
        <v>31</v>
      </c>
      <c r="B32">
        <f>_R1*_I1^2+_R2*_I2^2+_R3*_I3^2+_R4*_I4^2+_R5*_I5^2+_R6*_I6^2</f>
        <v>21888.109552438211</v>
      </c>
    </row>
    <row r="33" spans="1:5" x14ac:dyDescent="0.25">
      <c r="A33" t="s">
        <v>56</v>
      </c>
    </row>
    <row r="34" spans="1:5" x14ac:dyDescent="0.25">
      <c r="B34" t="s">
        <v>32</v>
      </c>
    </row>
    <row r="35" spans="1:5" x14ac:dyDescent="0.25">
      <c r="A35" s="1" t="s">
        <v>33</v>
      </c>
      <c r="B35" s="1">
        <f>-_I7+_I5+_I8</f>
        <v>0</v>
      </c>
    </row>
    <row r="36" spans="1:5" x14ac:dyDescent="0.25">
      <c r="A36" s="1" t="s">
        <v>34</v>
      </c>
      <c r="B36" s="1">
        <f>-_I5-_I6+_I1</f>
        <v>0</v>
      </c>
    </row>
    <row r="37" spans="1:5" x14ac:dyDescent="0.25">
      <c r="A37" s="1" t="s">
        <v>35</v>
      </c>
      <c r="B37" s="1">
        <f>-_I1-_I8+_I3+_I2</f>
        <v>0</v>
      </c>
    </row>
    <row r="38" spans="1:5" x14ac:dyDescent="0.25">
      <c r="A38" s="1" t="s">
        <v>36</v>
      </c>
      <c r="B38" s="1">
        <f>-_I2-_I4+_I6</f>
        <v>0</v>
      </c>
    </row>
    <row r="39" spans="1:5" x14ac:dyDescent="0.25">
      <c r="A39" s="1" t="s">
        <v>37</v>
      </c>
      <c r="B39" s="1">
        <f>_I7+_I4-_I3</f>
        <v>0</v>
      </c>
    </row>
    <row r="41" spans="1:5" x14ac:dyDescent="0.25">
      <c r="E41" t="s">
        <v>39</v>
      </c>
    </row>
    <row r="42" spans="1:5" x14ac:dyDescent="0.25">
      <c r="A42" t="s">
        <v>40</v>
      </c>
    </row>
    <row r="43" spans="1:5" x14ac:dyDescent="0.25">
      <c r="A43" s="1" t="s">
        <v>41</v>
      </c>
      <c r="B43" s="1">
        <f>1/_R1</f>
        <v>0.02</v>
      </c>
    </row>
    <row r="44" spans="1:5" x14ac:dyDescent="0.25">
      <c r="A44" s="1" t="s">
        <v>42</v>
      </c>
      <c r="B44" s="1">
        <f>1/_R2</f>
        <v>2.2222222222222223E-2</v>
      </c>
    </row>
    <row r="45" spans="1:5" x14ac:dyDescent="0.25">
      <c r="A45" s="1" t="s">
        <v>43</v>
      </c>
      <c r="B45" s="1">
        <f>1/_R3</f>
        <v>2.5000000000000001E-2</v>
      </c>
    </row>
    <row r="46" spans="1:5" x14ac:dyDescent="0.25">
      <c r="A46" s="1" t="s">
        <v>44</v>
      </c>
      <c r="B46" s="1">
        <f>1/_R4</f>
        <v>3.3333333333333333E-2</v>
      </c>
    </row>
    <row r="47" spans="1:5" x14ac:dyDescent="0.25">
      <c r="A47" s="1" t="s">
        <v>45</v>
      </c>
      <c r="B47" s="1">
        <f>1/_R5</f>
        <v>2.8571428571428571E-2</v>
      </c>
    </row>
    <row r="48" spans="1:5" x14ac:dyDescent="0.25">
      <c r="A48" s="1" t="s">
        <v>46</v>
      </c>
      <c r="B48" s="1">
        <f>1/_R6</f>
        <v>0.05</v>
      </c>
    </row>
    <row r="51" spans="1:9" x14ac:dyDescent="0.25">
      <c r="A51" t="s">
        <v>47</v>
      </c>
      <c r="F51" s="5" t="s">
        <v>48</v>
      </c>
      <c r="H51" s="5" t="s">
        <v>49</v>
      </c>
    </row>
    <row r="52" spans="1:9" x14ac:dyDescent="0.25">
      <c r="A52" s="1"/>
      <c r="B52" s="1"/>
      <c r="C52" s="1"/>
      <c r="D52" s="1"/>
      <c r="F52" s="1"/>
      <c r="H52" s="1" t="s">
        <v>50</v>
      </c>
      <c r="I52" s="1">
        <f>_E7</f>
        <v>350</v>
      </c>
    </row>
    <row r="53" spans="1:9" x14ac:dyDescent="0.25">
      <c r="A53">
        <f>-_G5</f>
        <v>-2.8571428571428571E-2</v>
      </c>
      <c r="B53" s="1">
        <f>_G1+_G5+_G6</f>
        <v>9.8571428571428574E-2</v>
      </c>
      <c r="C53" s="1">
        <f>-_G1</f>
        <v>-0.02</v>
      </c>
      <c r="D53" s="1">
        <f>-_G6</f>
        <v>-0.05</v>
      </c>
      <c r="F53" s="1">
        <f>-_E1/_R1 -_Fi1*A53</f>
        <v>4</v>
      </c>
      <c r="H53" s="1" t="s">
        <v>51</v>
      </c>
      <c r="I53" s="1">
        <f t="array" ref="I53:I55">MMULT(MINVERSE(_G),_Iv)</f>
        <v>359.58583834335332</v>
      </c>
    </row>
    <row r="54" spans="1:9" x14ac:dyDescent="0.25">
      <c r="A54" s="1">
        <f>0</f>
        <v>0</v>
      </c>
      <c r="B54" s="1">
        <f>C53</f>
        <v>-0.02</v>
      </c>
      <c r="C54" s="1">
        <f>_G1+_G2+_G3</f>
        <v>6.7222222222222225E-2</v>
      </c>
      <c r="D54" s="1">
        <f>-_G2</f>
        <v>-2.2222222222222223E-2</v>
      </c>
      <c r="F54" s="1">
        <f>_E1/_R1+_I8 - _Fi1*A54</f>
        <v>36</v>
      </c>
      <c r="H54" s="1" t="s">
        <v>52</v>
      </c>
      <c r="I54" s="1">
        <v>751.10220440881744</v>
      </c>
    </row>
    <row r="55" spans="1:9" x14ac:dyDescent="0.25">
      <c r="A55" s="1">
        <f>0</f>
        <v>0</v>
      </c>
      <c r="B55" s="1">
        <f>D53</f>
        <v>-0.05</v>
      </c>
      <c r="C55" s="1">
        <f>D54</f>
        <v>-2.2222222222222223E-2</v>
      </c>
      <c r="D55" s="1">
        <f>_G2+_G4+_G6</f>
        <v>0.10555555555555556</v>
      </c>
      <c r="F55" s="1">
        <f>0-_Fi1*A55</f>
        <v>0</v>
      </c>
      <c r="H55" s="1" t="s">
        <v>53</v>
      </c>
      <c r="I55" s="1">
        <v>328.45691382765528</v>
      </c>
    </row>
    <row r="56" spans="1:9" x14ac:dyDescent="0.25">
      <c r="H56" s="1" t="s">
        <v>54</v>
      </c>
      <c r="I56" s="1">
        <v>0</v>
      </c>
    </row>
    <row r="58" spans="1:9" x14ac:dyDescent="0.25">
      <c r="A58" s="2" t="s">
        <v>17</v>
      </c>
      <c r="B58" s="2"/>
      <c r="D58" s="5" t="s">
        <v>55</v>
      </c>
    </row>
    <row r="59" spans="1:9" x14ac:dyDescent="0.25">
      <c r="A59" s="1" t="s">
        <v>18</v>
      </c>
      <c r="B59" s="7">
        <f>(_Fi2-_Fi3+_E1)/_R1</f>
        <v>-1.8303273213092826</v>
      </c>
      <c r="D59" s="6">
        <f>B59-_I1</f>
        <v>0</v>
      </c>
    </row>
    <row r="60" spans="1:9" x14ac:dyDescent="0.25">
      <c r="A60" s="1" t="s">
        <v>19</v>
      </c>
      <c r="B60" s="7">
        <f>(_Fi3-_Fi4)/_R2</f>
        <v>9.3921175684702707</v>
      </c>
      <c r="D60" s="6">
        <f>B60-_I2</f>
        <v>0</v>
      </c>
    </row>
    <row r="61" spans="1:9" x14ac:dyDescent="0.25">
      <c r="A61" s="1" t="s">
        <v>20</v>
      </c>
      <c r="B61" s="7">
        <f>(_Fi3-_Fi5)/_R3</f>
        <v>18.777555110220437</v>
      </c>
      <c r="D61" s="6">
        <f>B61-_I3</f>
        <v>0</v>
      </c>
    </row>
    <row r="62" spans="1:9" x14ac:dyDescent="0.25">
      <c r="A62" s="1" t="s">
        <v>21</v>
      </c>
      <c r="B62" s="7">
        <f>(_Fi5-_Fi4)/_R4</f>
        <v>-10.948563794255175</v>
      </c>
      <c r="D62" s="6">
        <f>B62-_I4</f>
        <v>0</v>
      </c>
    </row>
    <row r="63" spans="1:9" x14ac:dyDescent="0.25">
      <c r="A63" s="1" t="s">
        <v>22</v>
      </c>
      <c r="B63" s="7">
        <f>(_Fi1-_Fi2)/_R5</f>
        <v>-0.27388109552438045</v>
      </c>
      <c r="D63" s="6">
        <f>B63-_I5</f>
        <v>0</v>
      </c>
    </row>
    <row r="64" spans="1:9" x14ac:dyDescent="0.25">
      <c r="A64" s="1" t="s">
        <v>23</v>
      </c>
      <c r="B64" s="7">
        <f>(_Fi4-_Fi2)/_R6</f>
        <v>-1.5564462257849017</v>
      </c>
      <c r="D64" s="6">
        <f>B64-_I6</f>
        <v>0</v>
      </c>
    </row>
    <row r="65" spans="1:5" x14ac:dyDescent="0.25">
      <c r="A65" s="1" t="s">
        <v>24</v>
      </c>
      <c r="B65" s="7">
        <f>_I5+_I8</f>
        <v>29.726118904475619</v>
      </c>
      <c r="D65" s="6">
        <f>B65-_I7</f>
        <v>0</v>
      </c>
    </row>
    <row r="66" spans="1:5" x14ac:dyDescent="0.25">
      <c r="A66" s="1" t="s">
        <v>27</v>
      </c>
      <c r="B66" s="3">
        <f>_J</f>
        <v>30</v>
      </c>
      <c r="D66" s="6">
        <f>B66-_I8</f>
        <v>0</v>
      </c>
    </row>
    <row r="68" spans="1:5" x14ac:dyDescent="0.25">
      <c r="A68" t="s">
        <v>57</v>
      </c>
    </row>
    <row r="69" spans="1:5" x14ac:dyDescent="0.25">
      <c r="A69" t="s">
        <v>49</v>
      </c>
      <c r="D69" t="s">
        <v>63</v>
      </c>
    </row>
    <row r="70" spans="1:5" x14ac:dyDescent="0.25">
      <c r="A70" s="1" t="s">
        <v>58</v>
      </c>
      <c r="B70" s="1">
        <v>0</v>
      </c>
      <c r="D70" s="1" t="s">
        <v>64</v>
      </c>
      <c r="E70" s="1">
        <v>0</v>
      </c>
    </row>
    <row r="71" spans="1:5" x14ac:dyDescent="0.25">
      <c r="A71" s="1" t="s">
        <v>59</v>
      </c>
      <c r="B71" s="1">
        <f>_fiA-_I5*_R5</f>
        <v>9.5858383433533234</v>
      </c>
      <c r="D71" s="1" t="s">
        <v>65</v>
      </c>
      <c r="E71" s="1">
        <f>_RA+_R5</f>
        <v>35</v>
      </c>
    </row>
    <row r="72" spans="1:5" x14ac:dyDescent="0.25">
      <c r="A72" s="1" t="s">
        <v>60</v>
      </c>
      <c r="B72" s="1">
        <f>_fiB-_I1*_R1</f>
        <v>101.1022044088175</v>
      </c>
      <c r="D72" s="1" t="s">
        <v>66</v>
      </c>
      <c r="E72" s="1">
        <f>_RB+_R1</f>
        <v>85</v>
      </c>
    </row>
    <row r="73" spans="1:5" x14ac:dyDescent="0.25">
      <c r="A73" s="1" t="s">
        <v>61</v>
      </c>
      <c r="B73" s="1">
        <f>_fiC+_E1</f>
        <v>401.1022044088175</v>
      </c>
      <c r="D73" s="1" t="s">
        <v>67</v>
      </c>
      <c r="E73" s="1">
        <f>_RC+0</f>
        <v>85</v>
      </c>
    </row>
    <row r="74" spans="1:5" x14ac:dyDescent="0.25">
      <c r="A74" s="1" t="s">
        <v>62</v>
      </c>
      <c r="B74" s="1">
        <f>_fiD-_I3*_R3</f>
        <v>-350.00000000000028</v>
      </c>
      <c r="D74" s="1" t="s">
        <v>68</v>
      </c>
      <c r="E74" s="1">
        <f>_RD+_R3</f>
        <v>125</v>
      </c>
    </row>
    <row r="75" spans="1:5" x14ac:dyDescent="0.25">
      <c r="A75" s="1" t="s">
        <v>58</v>
      </c>
      <c r="B75" s="1">
        <f>_fiE+_E7</f>
        <v>0</v>
      </c>
      <c r="D75" s="1" t="s">
        <v>64</v>
      </c>
      <c r="E75" s="1">
        <f>_RE+0</f>
        <v>125</v>
      </c>
    </row>
    <row r="77" spans="1:5" x14ac:dyDescent="0.25">
      <c r="A77" t="s">
        <v>69</v>
      </c>
    </row>
    <row r="78" spans="1:5" x14ac:dyDescent="0.25">
      <c r="A78" t="s">
        <v>70</v>
      </c>
      <c r="B78">
        <f>_I2*_R2-_E1</f>
        <v>122.64529058116227</v>
      </c>
    </row>
    <row r="80" spans="1:5" x14ac:dyDescent="0.25">
      <c r="E80" t="s">
        <v>71</v>
      </c>
    </row>
    <row r="81" spans="1:10" x14ac:dyDescent="0.25">
      <c r="B81" t="s">
        <v>74</v>
      </c>
      <c r="E81" t="s">
        <v>87</v>
      </c>
      <c r="H81" t="s">
        <v>96</v>
      </c>
    </row>
    <row r="82" spans="1:10" x14ac:dyDescent="0.25">
      <c r="A82" s="1" t="s">
        <v>1</v>
      </c>
      <c r="B82" s="1">
        <f>_E1</f>
        <v>300</v>
      </c>
      <c r="D82" s="1" t="s">
        <v>1</v>
      </c>
      <c r="E82" s="1">
        <f>0</f>
        <v>0</v>
      </c>
      <c r="G82" s="1" t="s">
        <v>1</v>
      </c>
      <c r="H82" s="1">
        <f>0</f>
        <v>0</v>
      </c>
    </row>
    <row r="83" spans="1:10" x14ac:dyDescent="0.25">
      <c r="A83" s="1" t="s">
        <v>2</v>
      </c>
      <c r="B83" s="1">
        <v>0</v>
      </c>
      <c r="D83" s="1" t="s">
        <v>2</v>
      </c>
      <c r="E83" s="1">
        <f>_E7</f>
        <v>350</v>
      </c>
      <c r="G83" s="1" t="s">
        <v>2</v>
      </c>
      <c r="H83" s="1">
        <v>0</v>
      </c>
    </row>
    <row r="84" spans="1:10" x14ac:dyDescent="0.25">
      <c r="A84" s="1" t="s">
        <v>73</v>
      </c>
      <c r="B84" s="1">
        <v>0</v>
      </c>
      <c r="D84" s="1" t="s">
        <v>73</v>
      </c>
      <c r="E84" s="1">
        <v>0</v>
      </c>
      <c r="G84" s="1" t="s">
        <v>73</v>
      </c>
      <c r="H84" s="1">
        <f>_J</f>
        <v>30</v>
      </c>
    </row>
    <row r="85" spans="1:10" x14ac:dyDescent="0.25">
      <c r="B85" t="s">
        <v>15</v>
      </c>
      <c r="E85" t="s">
        <v>15</v>
      </c>
      <c r="H85" t="s">
        <v>15</v>
      </c>
    </row>
    <row r="86" spans="1:10" x14ac:dyDescent="0.25">
      <c r="A86" s="1" t="s">
        <v>76</v>
      </c>
      <c r="B86" s="1">
        <f>_E7_1</f>
        <v>0</v>
      </c>
      <c r="D86" s="1" t="s">
        <v>76</v>
      </c>
      <c r="E86" s="1">
        <f>_E7_2</f>
        <v>350</v>
      </c>
      <c r="G86" s="1" t="s">
        <v>76</v>
      </c>
      <c r="H86" s="1">
        <f>_Ik4_3*_R5</f>
        <v>1050</v>
      </c>
    </row>
    <row r="87" spans="1:10" x14ac:dyDescent="0.25">
      <c r="A87" s="1" t="s">
        <v>77</v>
      </c>
      <c r="B87" s="1">
        <f>_E1_1</f>
        <v>300</v>
      </c>
      <c r="D87" s="1" t="s">
        <v>77</v>
      </c>
      <c r="E87" s="1">
        <v>0</v>
      </c>
      <c r="G87" s="1" t="s">
        <v>77</v>
      </c>
      <c r="H87" s="1">
        <f>_Ik4_3*_R1</f>
        <v>1500</v>
      </c>
    </row>
    <row r="88" spans="1:10" x14ac:dyDescent="0.25">
      <c r="A88" s="1" t="s">
        <v>78</v>
      </c>
      <c r="B88" s="1">
        <f>0</f>
        <v>0</v>
      </c>
      <c r="D88" s="1" t="s">
        <v>78</v>
      </c>
      <c r="E88" s="1">
        <f>0</f>
        <v>0</v>
      </c>
      <c r="G88" s="1" t="s">
        <v>78</v>
      </c>
      <c r="H88" s="1">
        <v>0</v>
      </c>
    </row>
    <row r="89" spans="1:10" x14ac:dyDescent="0.25">
      <c r="B89" t="s">
        <v>11</v>
      </c>
      <c r="E89" t="s">
        <v>11</v>
      </c>
      <c r="H89" t="s">
        <v>11</v>
      </c>
    </row>
    <row r="90" spans="1:10" x14ac:dyDescent="0.25">
      <c r="A90" s="1" t="s">
        <v>12</v>
      </c>
      <c r="B90" s="1">
        <f t="array" ref="B90:B92">MMULT(_InverseRk,_Ek_1)</f>
        <v>1.4629258517034072</v>
      </c>
      <c r="D90" s="1" t="s">
        <v>12</v>
      </c>
      <c r="E90" s="1">
        <f t="array" ref="E90:E92">MMULT(_InverseRk,_Ek_2)</f>
        <v>5.2371409485637948</v>
      </c>
      <c r="G90" s="1" t="s">
        <v>12</v>
      </c>
      <c r="H90" s="1">
        <f t="array" ref="H90:H92">MMULT(_InverseRk,_Ek_3)</f>
        <v>23.026052104208418</v>
      </c>
    </row>
    <row r="91" spans="1:10" x14ac:dyDescent="0.25">
      <c r="A91" s="1" t="s">
        <v>13</v>
      </c>
      <c r="B91" s="1">
        <v>3.5571142284569142</v>
      </c>
      <c r="D91" s="1" t="s">
        <v>13</v>
      </c>
      <c r="E91" s="1">
        <v>1.7067468269873081</v>
      </c>
      <c r="G91" s="1" t="s">
        <v>13</v>
      </c>
      <c r="H91" s="1">
        <v>22.905811623246493</v>
      </c>
    </row>
    <row r="92" spans="1:10" x14ac:dyDescent="0.25">
      <c r="A92" s="1" t="s">
        <v>14</v>
      </c>
      <c r="B92" s="1">
        <v>1.7735470941883771</v>
      </c>
      <c r="D92" s="1" t="s">
        <v>14</v>
      </c>
      <c r="E92" s="1">
        <v>2.0340681362725452</v>
      </c>
      <c r="G92" s="1" t="s">
        <v>14</v>
      </c>
      <c r="H92" s="1">
        <v>14.969939879759522</v>
      </c>
    </row>
    <row r="93" spans="1:10" x14ac:dyDescent="0.25">
      <c r="A93" s="1" t="s">
        <v>16</v>
      </c>
      <c r="B93" s="1">
        <v>0</v>
      </c>
      <c r="D93" s="1" t="s">
        <v>16</v>
      </c>
      <c r="E93" s="1">
        <v>0</v>
      </c>
      <c r="G93" s="1" t="s">
        <v>16</v>
      </c>
      <c r="H93" s="1">
        <f>_J8_3</f>
        <v>30</v>
      </c>
    </row>
    <row r="95" spans="1:10" x14ac:dyDescent="0.25">
      <c r="A95" s="2" t="s">
        <v>17</v>
      </c>
      <c r="D95" s="2" t="s">
        <v>17</v>
      </c>
      <c r="G95" s="2" t="s">
        <v>17</v>
      </c>
    </row>
    <row r="96" spans="1:10" x14ac:dyDescent="0.25">
      <c r="A96" s="1" t="s">
        <v>18</v>
      </c>
      <c r="B96" s="7">
        <f>_Ik2_1-_Ik4_1</f>
        <v>3.5571142284569142</v>
      </c>
      <c r="D96" s="1" t="s">
        <v>18</v>
      </c>
      <c r="E96" s="7">
        <f>_Ik2_2-_Ik4_2</f>
        <v>1.7067468269873081</v>
      </c>
      <c r="G96" s="1" t="s">
        <v>18</v>
      </c>
      <c r="H96" s="7">
        <f>_Ik2_3-_Ik4_3</f>
        <v>-7.0941883767535074</v>
      </c>
      <c r="J96" s="6"/>
    </row>
    <row r="97" spans="1:10" x14ac:dyDescent="0.25">
      <c r="A97" s="1" t="s">
        <v>19</v>
      </c>
      <c r="B97" s="7">
        <f>_Ik2_1-_Ik3_1</f>
        <v>1.7835671342685371</v>
      </c>
      <c r="D97" s="1" t="s">
        <v>19</v>
      </c>
      <c r="E97" s="7">
        <f>_Ik2_2-_Ik3_2</f>
        <v>-0.32732130928523717</v>
      </c>
      <c r="G97" s="1" t="s">
        <v>19</v>
      </c>
      <c r="H97" s="7">
        <f>_Ik2_3-_Ik3_3</f>
        <v>7.9358717434869703</v>
      </c>
      <c r="J97" s="6"/>
    </row>
    <row r="98" spans="1:10" x14ac:dyDescent="0.25">
      <c r="A98" s="1" t="s">
        <v>20</v>
      </c>
      <c r="B98" s="7">
        <f>_Ik3_1</f>
        <v>1.7735470941883771</v>
      </c>
      <c r="D98" s="1" t="s">
        <v>20</v>
      </c>
      <c r="E98" s="7">
        <f>_Ik3_2</f>
        <v>2.0340681362725452</v>
      </c>
      <c r="G98" s="1" t="s">
        <v>20</v>
      </c>
      <c r="H98" s="7">
        <f>_Ik3_3</f>
        <v>14.969939879759522</v>
      </c>
      <c r="J98" s="6"/>
    </row>
    <row r="99" spans="1:10" x14ac:dyDescent="0.25">
      <c r="A99" s="1" t="s">
        <v>21</v>
      </c>
      <c r="B99" s="7">
        <f>_Ik3_1-_Ik1_1</f>
        <v>0.31062124248496992</v>
      </c>
      <c r="D99" s="1" t="s">
        <v>21</v>
      </c>
      <c r="E99" s="7">
        <f>_Ik3_2-_Ik1_2</f>
        <v>-3.2030728122912495</v>
      </c>
      <c r="G99" s="1" t="s">
        <v>21</v>
      </c>
      <c r="H99" s="7">
        <f>_Ik3_3-_Ik1_3</f>
        <v>-8.0561122244488956</v>
      </c>
      <c r="J99" s="6"/>
    </row>
    <row r="100" spans="1:10" x14ac:dyDescent="0.25">
      <c r="A100" s="1" t="s">
        <v>22</v>
      </c>
      <c r="B100" s="7">
        <f>_Ik1_1-_Ik4_1</f>
        <v>1.4629258517034072</v>
      </c>
      <c r="D100" s="1" t="s">
        <v>22</v>
      </c>
      <c r="E100" s="7">
        <f>_Ik1_2-_Ik4_2</f>
        <v>5.2371409485637948</v>
      </c>
      <c r="G100" s="1" t="s">
        <v>22</v>
      </c>
      <c r="H100" s="7">
        <f>_Ik1_3-_Ik4_3</f>
        <v>-6.9739478957915821</v>
      </c>
      <c r="J100" s="6"/>
    </row>
    <row r="101" spans="1:10" x14ac:dyDescent="0.25">
      <c r="A101" s="1" t="s">
        <v>23</v>
      </c>
      <c r="B101" s="7">
        <f>_Ik2_1-_Ik1_1</f>
        <v>2.094188376753507</v>
      </c>
      <c r="D101" s="1" t="s">
        <v>23</v>
      </c>
      <c r="E101" s="7">
        <f>_Ik2_2-_Ik1_2</f>
        <v>-3.5303941215764869</v>
      </c>
      <c r="G101" s="1" t="s">
        <v>23</v>
      </c>
      <c r="H101" s="7">
        <f>_Ik2_3-_Ik1_3</f>
        <v>-0.1202404809619253</v>
      </c>
    </row>
    <row r="102" spans="1:10" x14ac:dyDescent="0.25">
      <c r="A102" s="1" t="s">
        <v>24</v>
      </c>
      <c r="B102" s="7">
        <f>_Ik1_1</f>
        <v>1.4629258517034072</v>
      </c>
      <c r="D102" s="1" t="s">
        <v>24</v>
      </c>
      <c r="E102" s="7">
        <f>_Ik1_2</f>
        <v>5.2371409485637948</v>
      </c>
      <c r="G102" s="1" t="s">
        <v>24</v>
      </c>
      <c r="H102" s="7">
        <f>_Ik1_3</f>
        <v>23.026052104208418</v>
      </c>
    </row>
    <row r="103" spans="1:10" x14ac:dyDescent="0.25">
      <c r="A103" s="1" t="s">
        <v>27</v>
      </c>
      <c r="B103" s="1">
        <f>_J8_1</f>
        <v>0</v>
      </c>
      <c r="D103" s="1" t="s">
        <v>27</v>
      </c>
      <c r="E103" s="1">
        <f>_J8_2</f>
        <v>0</v>
      </c>
      <c r="G103" s="1" t="s">
        <v>27</v>
      </c>
      <c r="H103" s="1">
        <f>_J8_3</f>
        <v>30</v>
      </c>
    </row>
    <row r="105" spans="1:10" x14ac:dyDescent="0.25">
      <c r="A105" t="s">
        <v>47</v>
      </c>
      <c r="D105" t="s">
        <v>47</v>
      </c>
      <c r="G105" t="s">
        <v>97</v>
      </c>
    </row>
    <row r="106" spans="1:10" x14ac:dyDescent="0.25">
      <c r="A106" s="1" t="s">
        <v>79</v>
      </c>
      <c r="B106" s="1">
        <f t="shared" ref="B106:B113" si="0">B96/_E1_1</f>
        <v>1.1857047428189714E-2</v>
      </c>
      <c r="D106" s="1" t="s">
        <v>89</v>
      </c>
      <c r="E106" s="1">
        <f t="shared" ref="E106:E113" si="1">E96/_E7_2</f>
        <v>4.8764195056780228E-3</v>
      </c>
      <c r="G106" s="1" t="s">
        <v>98</v>
      </c>
      <c r="H106" s="1">
        <f t="shared" ref="H106:H113" si="2">H96/_J8_3</f>
        <v>-0.23647294589178358</v>
      </c>
    </row>
    <row r="107" spans="1:10" x14ac:dyDescent="0.25">
      <c r="A107" s="1" t="s">
        <v>80</v>
      </c>
      <c r="B107" s="1">
        <f t="shared" si="0"/>
        <v>5.9452237808951232E-3</v>
      </c>
      <c r="D107" s="1" t="s">
        <v>88</v>
      </c>
      <c r="E107" s="1">
        <f t="shared" si="1"/>
        <v>-9.3520374081496331E-4</v>
      </c>
      <c r="G107" s="1" t="s">
        <v>99</v>
      </c>
      <c r="H107" s="1">
        <f t="shared" si="2"/>
        <v>0.26452905811623234</v>
      </c>
    </row>
    <row r="108" spans="1:10" x14ac:dyDescent="0.25">
      <c r="A108" s="1" t="s">
        <v>81</v>
      </c>
      <c r="B108" s="1">
        <f t="shared" si="0"/>
        <v>5.9118236472945904E-3</v>
      </c>
      <c r="D108" s="1" t="s">
        <v>90</v>
      </c>
      <c r="E108" s="1">
        <f t="shared" si="1"/>
        <v>5.8116232464929867E-3</v>
      </c>
      <c r="G108" s="1" t="s">
        <v>100</v>
      </c>
      <c r="H108" s="1">
        <f t="shared" si="2"/>
        <v>0.49899799599198408</v>
      </c>
    </row>
    <row r="109" spans="1:10" x14ac:dyDescent="0.25">
      <c r="A109" s="1" t="s">
        <v>82</v>
      </c>
      <c r="B109" s="1">
        <f t="shared" si="0"/>
        <v>1.0354041416165663E-3</v>
      </c>
      <c r="D109" s="1" t="s">
        <v>91</v>
      </c>
      <c r="E109" s="1">
        <f t="shared" si="1"/>
        <v>-9.1516366065464271E-3</v>
      </c>
      <c r="G109" s="1" t="s">
        <v>101</v>
      </c>
      <c r="H109" s="1">
        <f t="shared" si="2"/>
        <v>-0.26853707414829653</v>
      </c>
    </row>
    <row r="110" spans="1:10" x14ac:dyDescent="0.25">
      <c r="A110" s="1" t="s">
        <v>83</v>
      </c>
      <c r="B110" s="1">
        <f t="shared" si="0"/>
        <v>4.8764195056780237E-3</v>
      </c>
      <c r="D110" s="1" t="s">
        <v>92</v>
      </c>
      <c r="E110" s="1">
        <f t="shared" si="1"/>
        <v>1.4963259853039413E-2</v>
      </c>
      <c r="G110" s="1" t="s">
        <v>102</v>
      </c>
      <c r="H110" s="1">
        <f t="shared" si="2"/>
        <v>-0.23246492985971939</v>
      </c>
    </row>
    <row r="111" spans="1:10" x14ac:dyDescent="0.25">
      <c r="A111" s="1" t="s">
        <v>84</v>
      </c>
      <c r="B111" s="1">
        <f t="shared" si="0"/>
        <v>6.98062792251169E-3</v>
      </c>
      <c r="D111" s="1" t="s">
        <v>93</v>
      </c>
      <c r="E111" s="1">
        <f t="shared" si="1"/>
        <v>-1.0086840347361391E-2</v>
      </c>
      <c r="G111" s="1" t="s">
        <v>103</v>
      </c>
      <c r="H111" s="1">
        <f t="shared" si="2"/>
        <v>-4.0080160320641765E-3</v>
      </c>
    </row>
    <row r="112" spans="1:10" x14ac:dyDescent="0.25">
      <c r="A112" s="1" t="s">
        <v>85</v>
      </c>
      <c r="B112" s="1">
        <f t="shared" si="0"/>
        <v>4.8764195056780237E-3</v>
      </c>
      <c r="D112" s="1" t="s">
        <v>94</v>
      </c>
      <c r="E112" s="1">
        <f t="shared" si="1"/>
        <v>1.4963259853039413E-2</v>
      </c>
      <c r="G112" s="1" t="s">
        <v>104</v>
      </c>
      <c r="H112" s="1">
        <f t="shared" si="2"/>
        <v>0.76753507014028055</v>
      </c>
    </row>
    <row r="113" spans="1:8" x14ac:dyDescent="0.25">
      <c r="A113" s="1" t="s">
        <v>86</v>
      </c>
      <c r="B113" s="1">
        <f t="shared" si="0"/>
        <v>0</v>
      </c>
      <c r="D113" s="1" t="s">
        <v>95</v>
      </c>
      <c r="E113" s="1">
        <f t="shared" si="1"/>
        <v>0</v>
      </c>
      <c r="G113" s="1" t="s">
        <v>105</v>
      </c>
      <c r="H113" s="1">
        <f t="shared" si="2"/>
        <v>1</v>
      </c>
    </row>
    <row r="115" spans="1:8" x14ac:dyDescent="0.25">
      <c r="B115" t="s">
        <v>106</v>
      </c>
      <c r="D115" s="5" t="s">
        <v>55</v>
      </c>
    </row>
    <row r="116" spans="1:8" x14ac:dyDescent="0.25">
      <c r="A116" s="1" t="s">
        <v>18</v>
      </c>
      <c r="B116" s="1">
        <f t="shared" ref="B116:B123" si="3">B106*_E1+E106*_E7+H106*_J</f>
        <v>-1.8303273213092854</v>
      </c>
      <c r="D116" s="6">
        <f>B116-_I1</f>
        <v>-1.7763568394002505E-15</v>
      </c>
    </row>
    <row r="117" spans="1:8" x14ac:dyDescent="0.25">
      <c r="A117" s="1" t="s">
        <v>19</v>
      </c>
      <c r="B117" s="1">
        <f t="shared" si="3"/>
        <v>9.3921175684702707</v>
      </c>
      <c r="D117" s="6">
        <f>B117-_I2</f>
        <v>0</v>
      </c>
      <c r="H117" t="s">
        <v>75</v>
      </c>
    </row>
    <row r="118" spans="1:8" x14ac:dyDescent="0.25">
      <c r="A118" s="1" t="s">
        <v>20</v>
      </c>
      <c r="B118" s="1">
        <f t="shared" si="3"/>
        <v>18.777555110220444</v>
      </c>
      <c r="D118" s="6">
        <f>B118-_I3</f>
        <v>0</v>
      </c>
    </row>
    <row r="119" spans="1:8" x14ac:dyDescent="0.25">
      <c r="A119" s="1" t="s">
        <v>21</v>
      </c>
      <c r="B119" s="1">
        <f t="shared" si="3"/>
        <v>-10.948563794255175</v>
      </c>
      <c r="D119" s="6">
        <f>B119-_I4</f>
        <v>0</v>
      </c>
    </row>
    <row r="120" spans="1:8" x14ac:dyDescent="0.25">
      <c r="A120" s="1" t="s">
        <v>22</v>
      </c>
      <c r="B120" s="1">
        <f t="shared" si="3"/>
        <v>-0.27388109552438067</v>
      </c>
      <c r="D120" s="6">
        <f>B120-_I5</f>
        <v>0</v>
      </c>
    </row>
    <row r="121" spans="1:8" x14ac:dyDescent="0.25">
      <c r="A121" s="1" t="s">
        <v>23</v>
      </c>
      <c r="B121" s="1">
        <f t="shared" si="3"/>
        <v>-1.5564462257849052</v>
      </c>
      <c r="D121" s="6">
        <f>B121-_I6</f>
        <v>-2.2204460492503131E-15</v>
      </c>
    </row>
    <row r="122" spans="1:8" x14ac:dyDescent="0.25">
      <c r="A122" s="1" t="s">
        <v>24</v>
      </c>
      <c r="B122" s="1">
        <f t="shared" si="3"/>
        <v>29.726118904475619</v>
      </c>
      <c r="D122" s="6">
        <f>B122-_I7</f>
        <v>0</v>
      </c>
    </row>
    <row r="123" spans="1:8" x14ac:dyDescent="0.25">
      <c r="A123" s="1" t="s">
        <v>27</v>
      </c>
      <c r="B123" s="1">
        <f t="shared" si="3"/>
        <v>30</v>
      </c>
      <c r="D123" s="6">
        <f>B123-_I8</f>
        <v>0</v>
      </c>
    </row>
    <row r="125" spans="1:8" x14ac:dyDescent="0.25">
      <c r="B125" t="s">
        <v>107</v>
      </c>
    </row>
    <row r="126" spans="1:8" x14ac:dyDescent="0.25">
      <c r="A126" t="s">
        <v>1</v>
      </c>
      <c r="B126">
        <f>(5-_G57*_E7-_K58*_J)/_G51</f>
        <v>1381.5068493150679</v>
      </c>
    </row>
    <row r="128" spans="1:8" x14ac:dyDescent="0.25">
      <c r="F128" t="s">
        <v>108</v>
      </c>
    </row>
    <row r="131" spans="1:13" x14ac:dyDescent="0.25">
      <c r="A131" t="s">
        <v>10</v>
      </c>
      <c r="E131" t="s">
        <v>15</v>
      </c>
      <c r="G131" t="s">
        <v>72</v>
      </c>
      <c r="L131" t="s">
        <v>11</v>
      </c>
    </row>
    <row r="132" spans="1:13" x14ac:dyDescent="0.25">
      <c r="A132" s="1">
        <f>_R5+_R6+_R4</f>
        <v>85</v>
      </c>
      <c r="B132" s="1">
        <f>-_R4</f>
        <v>-30</v>
      </c>
      <c r="C132" s="1">
        <f>-_R5-_R6</f>
        <v>-55</v>
      </c>
      <c r="E132" s="1">
        <f>_E7-C132*_J</f>
        <v>2000</v>
      </c>
      <c r="G132" s="1">
        <f t="array" ref="G132:H133">MINVERSE(_Rk_g)</f>
        <v>1.2957746478873241E-2</v>
      </c>
      <c r="H132" s="1">
        <v>3.3802816901408453E-3</v>
      </c>
      <c r="I132" s="2"/>
      <c r="L132" s="3" t="s">
        <v>12</v>
      </c>
      <c r="M132" s="4">
        <f t="array" ref="M132:M133">MMULT(_InverseRk_g,_Ek_g)</f>
        <v>30.47887323943662</v>
      </c>
    </row>
    <row r="133" spans="1:13" x14ac:dyDescent="0.25">
      <c r="A133" s="1">
        <f>B132</f>
        <v>-30</v>
      </c>
      <c r="B133" s="1">
        <f>_R2+_R3+_R4</f>
        <v>115</v>
      </c>
      <c r="C133" s="1">
        <f>-_R2</f>
        <v>-45</v>
      </c>
      <c r="E133" s="1">
        <f>0-C133*_J</f>
        <v>1350</v>
      </c>
      <c r="G133" s="1">
        <v>3.3802816901408453E-3</v>
      </c>
      <c r="H133" s="1">
        <v>9.5774647887323944E-3</v>
      </c>
      <c r="I133" s="2"/>
      <c r="L133" s="3" t="s">
        <v>13</v>
      </c>
      <c r="M133" s="4">
        <v>19.690140845070424</v>
      </c>
    </row>
    <row r="134" spans="1:13" x14ac:dyDescent="0.25">
      <c r="A134" s="1"/>
      <c r="B134" s="1"/>
      <c r="C134" s="1"/>
      <c r="E134" s="1"/>
      <c r="G134" s="2"/>
      <c r="H134" s="2"/>
      <c r="I134" s="2"/>
      <c r="L134" s="3" t="s">
        <v>14</v>
      </c>
      <c r="M134" s="4">
        <f>_J</f>
        <v>30</v>
      </c>
    </row>
    <row r="136" spans="1:13" x14ac:dyDescent="0.25">
      <c r="A136" s="2" t="s">
        <v>17</v>
      </c>
      <c r="E136" t="s">
        <v>56</v>
      </c>
    </row>
    <row r="137" spans="1:13" x14ac:dyDescent="0.25">
      <c r="A137" s="1" t="s">
        <v>19</v>
      </c>
      <c r="B137" s="1">
        <f>_Ik2_g-_Ik3_g</f>
        <v>-10.309859154929576</v>
      </c>
    </row>
    <row r="138" spans="1:13" x14ac:dyDescent="0.25">
      <c r="A138" s="1" t="s">
        <v>20</v>
      </c>
      <c r="B138" s="1">
        <f>-_Ik2_g</f>
        <v>-19.690140845070424</v>
      </c>
      <c r="E138" s="1" t="s">
        <v>33</v>
      </c>
      <c r="F138" s="1">
        <f>-_I7g+_I5g+_I8g</f>
        <v>0</v>
      </c>
    </row>
    <row r="139" spans="1:13" x14ac:dyDescent="0.25">
      <c r="A139" s="1" t="s">
        <v>21</v>
      </c>
      <c r="B139" s="1">
        <f>-_Ik1_g+_Ik2_g</f>
        <v>-10.788732394366196</v>
      </c>
      <c r="E139" s="1" t="s">
        <v>34</v>
      </c>
      <c r="F139" s="1">
        <f>_I7g+_I3g+_I4g</f>
        <v>0</v>
      </c>
    </row>
    <row r="140" spans="1:13" x14ac:dyDescent="0.25">
      <c r="A140" s="1" t="s">
        <v>22</v>
      </c>
      <c r="B140" s="1">
        <f>_Ik1_g-_Ik3_g</f>
        <v>0.47887323943661997</v>
      </c>
      <c r="E140" s="1" t="s">
        <v>35</v>
      </c>
      <c r="F140" s="1">
        <f>_I2g-_I4g-_I5g</f>
        <v>0</v>
      </c>
    </row>
    <row r="141" spans="1:13" x14ac:dyDescent="0.25">
      <c r="A141" s="1" t="s">
        <v>23</v>
      </c>
      <c r="B141" s="1">
        <f>_Ik1_g-_Ik3_g</f>
        <v>0.47887323943661997</v>
      </c>
      <c r="E141" s="1" t="s">
        <v>36</v>
      </c>
      <c r="F141" s="1">
        <f>-_I8g-_I2g-_I3g</f>
        <v>0</v>
      </c>
    </row>
    <row r="142" spans="1:13" x14ac:dyDescent="0.25">
      <c r="A142" s="1" t="s">
        <v>24</v>
      </c>
      <c r="B142" s="1">
        <f>_Ik1_g</f>
        <v>30.47887323943662</v>
      </c>
    </row>
    <row r="143" spans="1:13" x14ac:dyDescent="0.25">
      <c r="A143" s="1" t="s">
        <v>27</v>
      </c>
      <c r="B143" s="1">
        <f>_Ik3_g</f>
        <v>30</v>
      </c>
    </row>
    <row r="146" spans="1:5" x14ac:dyDescent="0.25">
      <c r="A146" t="s">
        <v>109</v>
      </c>
    </row>
    <row r="147" spans="1:5" x14ac:dyDescent="0.25">
      <c r="A147" t="s">
        <v>110</v>
      </c>
      <c r="B147">
        <f>_R5*_R6/(_R4+_R5+_R6)</f>
        <v>8.235294117647058</v>
      </c>
    </row>
    <row r="148" spans="1:5" x14ac:dyDescent="0.25">
      <c r="A148" t="s">
        <v>111</v>
      </c>
      <c r="B148">
        <f>_R4*_R6/(_R4+_R5+_R6)</f>
        <v>7.0588235294117645</v>
      </c>
    </row>
    <row r="149" spans="1:5" x14ac:dyDescent="0.25">
      <c r="A149" t="s">
        <v>112</v>
      </c>
      <c r="B149">
        <f>_R5*_R4/(_R4+_R5+_R6)</f>
        <v>12.352941176470589</v>
      </c>
    </row>
    <row r="151" spans="1:5" x14ac:dyDescent="0.25">
      <c r="A151" t="s">
        <v>113</v>
      </c>
      <c r="B151" s="2">
        <f>(_R2+_R2_s)*(_R3+_r3_s)/(_R2+_R2_s+_R3+_r3_s)+_R1_s</f>
        <v>34.338028169014081</v>
      </c>
    </row>
    <row r="152" spans="1:5" x14ac:dyDescent="0.25">
      <c r="A152" s="2" t="s">
        <v>114</v>
      </c>
      <c r="B152" s="2">
        <f>_R6*_I6g+_R2*_I2g</f>
        <v>-454.36619718309851</v>
      </c>
      <c r="E152" s="2"/>
    </row>
    <row r="154" spans="1:5" x14ac:dyDescent="0.25">
      <c r="A154" t="s">
        <v>18</v>
      </c>
      <c r="B154">
        <f>(_E1+_Eg)/(_R1+_Rg)</f>
        <v>-1.8303273213092843</v>
      </c>
    </row>
    <row r="155" spans="1:5" x14ac:dyDescent="0.25">
      <c r="A155" s="5" t="s">
        <v>55</v>
      </c>
      <c r="B155">
        <f>B154-_I1</f>
        <v>0</v>
      </c>
      <c r="E155" s="5"/>
    </row>
    <row r="156" spans="1:5" x14ac:dyDescent="0.25">
      <c r="A156" t="s">
        <v>107</v>
      </c>
    </row>
    <row r="157" spans="1:5" x14ac:dyDescent="0.25">
      <c r="A157" t="s">
        <v>1</v>
      </c>
      <c r="B157">
        <f>-2*_I1*(_R1+_Rg)-_Eg</f>
        <v>763.09859154929541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100</vt:i4>
      </vt:variant>
    </vt:vector>
  </HeadingPairs>
  <TitlesOfParts>
    <vt:vector size="103" baseType="lpstr">
      <vt:lpstr>Лист1</vt:lpstr>
      <vt:lpstr>Лист2</vt:lpstr>
      <vt:lpstr>Лист3</vt:lpstr>
      <vt:lpstr>_E1</vt:lpstr>
      <vt:lpstr>_E1_1</vt:lpstr>
      <vt:lpstr>_E7</vt:lpstr>
      <vt:lpstr>_E7_1</vt:lpstr>
      <vt:lpstr>_E7_2</vt:lpstr>
      <vt:lpstr>_Eg</vt:lpstr>
      <vt:lpstr>_Ek_1</vt:lpstr>
      <vt:lpstr>_Ek_2</vt:lpstr>
      <vt:lpstr>_Ek_3</vt:lpstr>
      <vt:lpstr>_Ek_g</vt:lpstr>
      <vt:lpstr>_Fi</vt:lpstr>
      <vt:lpstr>_Fi1</vt:lpstr>
      <vt:lpstr>_Fi2</vt:lpstr>
      <vt:lpstr>_Fi3</vt:lpstr>
      <vt:lpstr>_Fi4</vt:lpstr>
      <vt:lpstr>_Fi5</vt:lpstr>
      <vt:lpstr>_fiA</vt:lpstr>
      <vt:lpstr>_fiB</vt:lpstr>
      <vt:lpstr>_fiC</vt:lpstr>
      <vt:lpstr>_fiD</vt:lpstr>
      <vt:lpstr>_fiE</vt:lpstr>
      <vt:lpstr>_G</vt:lpstr>
      <vt:lpstr>_G1</vt:lpstr>
      <vt:lpstr>_G2</vt:lpstr>
      <vt:lpstr>_G3</vt:lpstr>
      <vt:lpstr>_G4</vt:lpstr>
      <vt:lpstr>_G5</vt:lpstr>
      <vt:lpstr>_G51</vt:lpstr>
      <vt:lpstr>_G57</vt:lpstr>
      <vt:lpstr>_G6</vt:lpstr>
      <vt:lpstr>_I1</vt:lpstr>
      <vt:lpstr>_I2</vt:lpstr>
      <vt:lpstr>_I2g</vt:lpstr>
      <vt:lpstr>_I3</vt:lpstr>
      <vt:lpstr>_I3g</vt:lpstr>
      <vt:lpstr>_I4</vt:lpstr>
      <vt:lpstr>_I4g</vt:lpstr>
      <vt:lpstr>_I5</vt:lpstr>
      <vt:lpstr>_I5g</vt:lpstr>
      <vt:lpstr>_I6</vt:lpstr>
      <vt:lpstr>_I6g</vt:lpstr>
      <vt:lpstr>_I7</vt:lpstr>
      <vt:lpstr>_I7g</vt:lpstr>
      <vt:lpstr>_I8</vt:lpstr>
      <vt:lpstr>_I8_1</vt:lpstr>
      <vt:lpstr>_I8g</vt:lpstr>
      <vt:lpstr>_Ik1</vt:lpstr>
      <vt:lpstr>_Ik1_1</vt:lpstr>
      <vt:lpstr>_Ik1_2</vt:lpstr>
      <vt:lpstr>_Ik1_3</vt:lpstr>
      <vt:lpstr>_Ik1_g</vt:lpstr>
      <vt:lpstr>_Ik2</vt:lpstr>
      <vt:lpstr>_Ik2_1</vt:lpstr>
      <vt:lpstr>_Ik2_2</vt:lpstr>
      <vt:lpstr>_Ik2_3</vt:lpstr>
      <vt:lpstr>_Ik2_g</vt:lpstr>
      <vt:lpstr>_Ik3</vt:lpstr>
      <vt:lpstr>_Ik3_1</vt:lpstr>
      <vt:lpstr>_Ik3_2</vt:lpstr>
      <vt:lpstr>_Ik3_3</vt:lpstr>
      <vt:lpstr>_Ik3_g</vt:lpstr>
      <vt:lpstr>_Ik4</vt:lpstr>
      <vt:lpstr>_Ik4_1</vt:lpstr>
      <vt:lpstr>_Ik4_2</vt:lpstr>
      <vt:lpstr>_Ik4_3</vt:lpstr>
      <vt:lpstr>_InverseRk</vt:lpstr>
      <vt:lpstr>_InverseRk_g</vt:lpstr>
      <vt:lpstr>_Iv</vt:lpstr>
      <vt:lpstr>_J</vt:lpstr>
      <vt:lpstr>_J8_1</vt:lpstr>
      <vt:lpstr>_J8_2</vt:lpstr>
      <vt:lpstr>_J8_3</vt:lpstr>
      <vt:lpstr>_K58</vt:lpstr>
      <vt:lpstr>_R1</vt:lpstr>
      <vt:lpstr>_R1_s</vt:lpstr>
      <vt:lpstr>_R2</vt:lpstr>
      <vt:lpstr>_R2_s</vt:lpstr>
      <vt:lpstr>_R3</vt:lpstr>
      <vt:lpstr>_r3_s</vt:lpstr>
      <vt:lpstr>_R4</vt:lpstr>
      <vt:lpstr>_R5</vt:lpstr>
      <vt:lpstr>_R6</vt:lpstr>
      <vt:lpstr>_RA</vt:lpstr>
      <vt:lpstr>_RB</vt:lpstr>
      <vt:lpstr>_RC</vt:lpstr>
      <vt:lpstr>_RD</vt:lpstr>
      <vt:lpstr>_RE</vt:lpstr>
      <vt:lpstr>_Rg</vt:lpstr>
      <vt:lpstr>_Rk_1</vt:lpstr>
      <vt:lpstr>_Rk_2</vt:lpstr>
      <vt:lpstr>_Rk_g</vt:lpstr>
      <vt:lpstr>_U31</vt:lpstr>
      <vt:lpstr>E1_</vt:lpstr>
      <vt:lpstr>E7_</vt:lpstr>
      <vt:lpstr>Ek</vt:lpstr>
      <vt:lpstr>Fi</vt:lpstr>
      <vt:lpstr>G</vt:lpstr>
      <vt:lpstr>Ik</vt:lpstr>
      <vt:lpstr>J</vt:lpstr>
      <vt:lpstr>Rk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2013-10-12T17:20:52Z</dcterms:modified>
</cp:coreProperties>
</file>