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A11">Лист1!$B$164</definedName>
    <definedName name="_A12">Лист1!$B$166</definedName>
    <definedName name="_A21">Лист1!$B$167</definedName>
    <definedName name="_A22">Лист1!$B$165</definedName>
    <definedName name="_C1">Лист1!$D$11</definedName>
    <definedName name="_C2">Лист1!$D$12</definedName>
    <definedName name="_C3">Лист1!$D$13</definedName>
    <definedName name="_E">Лист1!$D$2</definedName>
    <definedName name="_E2345">Лист1!$B$32</definedName>
    <definedName name="_E2345_?">Лист1!$B$77</definedName>
    <definedName name="_E45">Лист1!$B$35</definedName>
    <definedName name="_E45_?">Лист1!$B$80</definedName>
    <definedName name="_f">Лист1!$B$15</definedName>
    <definedName name="_f1m">Лист1!$B$151</definedName>
    <definedName name="_f2m">Лист1!$B$150</definedName>
    <definedName name="_f3m">Лист1!$B$154</definedName>
    <definedName name="_f4m">Лист1!$B$153</definedName>
    <definedName name="_f5m">Лист1!$B$152</definedName>
    <definedName name="_f6m">Лист1!$B$148</definedName>
    <definedName name="_f7m">Лист1!$B$149</definedName>
    <definedName name="_f8m">Лист1!$B$147</definedName>
    <definedName name="_fi?_1_1">Лист1!$B$94</definedName>
    <definedName name="_fi?1">Лист1!$B$98</definedName>
    <definedName name="_fi?2">Лист1!$B$99</definedName>
    <definedName name="_fi?2_2">Лист1!$B$101</definedName>
    <definedName name="_fi?3">Лист1!$B$97</definedName>
    <definedName name="_fi?5">Лист1!$B$95</definedName>
    <definedName name="_fi?6">Лист1!$B$100</definedName>
    <definedName name="_fi1">Лист1!$B$53</definedName>
    <definedName name="_fi1_1">Лист1!$B$49</definedName>
    <definedName name="_fi2">Лист1!$B$54</definedName>
    <definedName name="_fi2_2">Лист1!$B$56</definedName>
    <definedName name="_fi3">Лист1!$B$52</definedName>
    <definedName name="_fi4">Лист1!$B$51</definedName>
    <definedName name="_fi5?">Лист1!$B$95</definedName>
    <definedName name="_fi6">Лист1!$B$50</definedName>
    <definedName name="_fi7">Лист1!$B$55</definedName>
    <definedName name="_I1">Лист1!$B$31</definedName>
    <definedName name="_I1_?">Лист1!$B$76</definedName>
    <definedName name="_I1_?_2">Лист1!$G$76</definedName>
    <definedName name="_I1_2">Лист1!$G$31</definedName>
    <definedName name="_I1m">Лист1!$B$117</definedName>
    <definedName name="_I1m_2">Лист1!$G$117</definedName>
    <definedName name="_I1p">Лист1!$B$185</definedName>
    <definedName name="_I2">Лист1!$B$33</definedName>
    <definedName name="_I2_?">Лист1!$B$78</definedName>
    <definedName name="_I2_?_2">Лист1!$G$78</definedName>
    <definedName name="_I2_2">Лист1!$G$33</definedName>
    <definedName name="_I2m">Лист1!$B$118</definedName>
    <definedName name="_I2m_2">Лист1!$G$118</definedName>
    <definedName name="_I2p">Лист1!$B$182</definedName>
    <definedName name="_I3">Лист1!$B$34</definedName>
    <definedName name="_I3_?">Лист1!$B$79</definedName>
    <definedName name="_I3_?_2">Лист1!$G$79</definedName>
    <definedName name="_I3_2">Лист1!$G$34</definedName>
    <definedName name="_I3m">Лист1!$B$119</definedName>
    <definedName name="_I3m_2">Лист1!$G$119</definedName>
    <definedName name="_I4">Лист1!$B$36</definedName>
    <definedName name="_I4_?">Лист1!$B$81</definedName>
    <definedName name="_I4_?_2">Лист1!$G$80</definedName>
    <definedName name="_I4_2">Лист1!$G$36</definedName>
    <definedName name="_I4m">Лист1!$B$121</definedName>
    <definedName name="_I5">Лист1!$B$37</definedName>
    <definedName name="_I5_?">Лист1!$B$82</definedName>
    <definedName name="_I5_?_2">Лист1!$G$82</definedName>
    <definedName name="_I5_2">Лист1!$G$37</definedName>
    <definedName name="_I5m">Лист1!$B$122</definedName>
    <definedName name="_Ik1">Лист1!$B$114</definedName>
    <definedName name="_Ik2">Лист1!$B$115</definedName>
    <definedName name="_L1">Лист1!$D$8</definedName>
    <definedName name="_L2">Лист1!$D$9</definedName>
    <definedName name="_L3">Лист1!$D$10</definedName>
    <definedName name="_M">Лист1!$C$105</definedName>
    <definedName name="_omega">Лист1!$F$105</definedName>
    <definedName name="_psi">Лист1!$B$3</definedName>
    <definedName name="_R1">Лист1!$D$4</definedName>
    <definedName name="_R2">Лист1!$D$5</definedName>
    <definedName name="_R3">Лист1!$D$6</definedName>
    <definedName name="_R4">Лист1!$D$7</definedName>
    <definedName name="_Re">Лист1!$B$107</definedName>
    <definedName name="_U2p">Лист1!$B$181</definedName>
    <definedName name="_Um45">Лист1!$B$120</definedName>
    <definedName name="_X_C1">Лист1!$B$11</definedName>
    <definedName name="_X_C2">Лист1!$B$12</definedName>
    <definedName name="_X_C3">Лист1!$B$13</definedName>
    <definedName name="_X_L1">Лист1!$B$8</definedName>
    <definedName name="_X_L2">Лист1!$B$9</definedName>
    <definedName name="_X_L3">Лист1!$B$10</definedName>
    <definedName name="_X2">Лист1!$B$72</definedName>
    <definedName name="_Xe">Лист1!$D$107</definedName>
    <definedName name="_Xm">Лист1!$B$14</definedName>
    <definedName name="_y">Лист1!$B$179</definedName>
    <definedName name="_Y2345">Лист1!$B$69</definedName>
    <definedName name="_Z">Лист1!$B$28</definedName>
    <definedName name="_Z?">Лист1!$B$74</definedName>
    <definedName name="_Z?2345">Лист1!$B$73</definedName>
    <definedName name="_Z1">Лист1!$B$19</definedName>
    <definedName name="_Z11">Лист1!$B$108</definedName>
    <definedName name="_Z12">Лист1!$B$110</definedName>
    <definedName name="_Z1p">Лист1!$B$160</definedName>
    <definedName name="_Z1t">Лист1!$B$172</definedName>
    <definedName name="_Z2">Лист1!$B$20</definedName>
    <definedName name="_Z22">Лист1!$B$109</definedName>
    <definedName name="_Z2345">Лист1!$B$27</definedName>
    <definedName name="_Z234p">Лист1!$H$160</definedName>
    <definedName name="_Z2p">Лист1!$B$161</definedName>
    <definedName name="_Z2t">Лист1!$B$173</definedName>
    <definedName name="_Z3">Лист1!$B$21</definedName>
    <definedName name="_Z34">Лист1!$H$161</definedName>
    <definedName name="_Z345">Лист1!$B$26</definedName>
    <definedName name="_Z34p">Лист1!$H$161</definedName>
    <definedName name="_Z3p">Лист1!$B$162</definedName>
    <definedName name="_Z3t">Лист1!$B$174</definedName>
    <definedName name="_Z4">Лист1!$B$22</definedName>
    <definedName name="_Z45">Лист1!$B$25</definedName>
    <definedName name="_Z4p">Лист1!$B$163</definedName>
    <definedName name="_Z5">Лист1!$B$23</definedName>
    <definedName name="_ZC1p">Лист1!$B$177</definedName>
    <definedName name="_ZC2p">Лист1!$B$178</definedName>
    <definedName name="_Ze">Лист1!$B$106</definedName>
  </definedNames>
  <calcPr calcId="145621"/>
</workbook>
</file>

<file path=xl/calcChain.xml><?xml version="1.0" encoding="utf-8"?>
<calcChain xmlns="http://schemas.openxmlformats.org/spreadsheetml/2006/main">
  <c r="B165" i="1" l="1"/>
  <c r="B167" i="1"/>
  <c r="B166" i="1"/>
  <c r="P157" i="1" l="1"/>
  <c r="P156" i="1"/>
  <c r="N157" i="1"/>
  <c r="N156" i="1"/>
  <c r="M157" i="1"/>
  <c r="M156" i="1"/>
  <c r="L157" i="1"/>
  <c r="L156" i="1"/>
  <c r="K157" i="1"/>
  <c r="K156" i="1"/>
  <c r="J157" i="1"/>
  <c r="J156" i="1"/>
  <c r="I157" i="1"/>
  <c r="I156" i="1"/>
  <c r="H156" i="1"/>
  <c r="O153" i="1"/>
  <c r="O154" i="1"/>
  <c r="F105" i="1" l="1"/>
  <c r="C105" i="1" l="1"/>
  <c r="B9" i="3" l="1"/>
  <c r="B8" i="3"/>
  <c r="B7" i="3"/>
  <c r="B6" i="3"/>
  <c r="K2" i="2"/>
  <c r="B6" i="2" l="1"/>
  <c r="D6" i="2" s="1"/>
  <c r="B9" i="2"/>
  <c r="B14" i="2"/>
  <c r="D13" i="2"/>
  <c r="C13" i="2"/>
  <c r="D12" i="2"/>
  <c r="C12" i="2"/>
  <c r="C6" i="2" l="1"/>
  <c r="C14" i="2"/>
  <c r="D14" i="2"/>
  <c r="B5" i="2"/>
  <c r="D5" i="2" s="1"/>
  <c r="B8" i="2"/>
  <c r="D8" i="2" s="1"/>
  <c r="B7" i="2"/>
  <c r="D7" i="2" s="1"/>
  <c r="D4" i="2"/>
  <c r="C4" i="2"/>
  <c r="D3" i="2"/>
  <c r="C3" i="2"/>
  <c r="C8" i="2" l="1"/>
  <c r="C5" i="2"/>
  <c r="C7" i="2"/>
  <c r="D2" i="1"/>
  <c r="B111" i="1" l="1"/>
  <c r="J66" i="1"/>
  <c r="J65" i="1"/>
  <c r="D13" i="1"/>
  <c r="D12" i="1"/>
  <c r="D11" i="1"/>
  <c r="D10" i="1"/>
  <c r="B23" i="1" s="1"/>
  <c r="E23" i="1" s="1"/>
  <c r="D9" i="1"/>
  <c r="D8" i="1"/>
  <c r="D7" i="1"/>
  <c r="D6" i="1"/>
  <c r="D5" i="1"/>
  <c r="B110" i="1" s="1"/>
  <c r="D4" i="1"/>
  <c r="B161" i="1" l="1"/>
  <c r="B163" i="1"/>
  <c r="B108" i="1"/>
  <c r="B160" i="1"/>
  <c r="B162" i="1"/>
  <c r="B19" i="1"/>
  <c r="D19" i="1" s="1"/>
  <c r="B20" i="1"/>
  <c r="E20" i="1" s="1"/>
  <c r="E111" i="1"/>
  <c r="D111" i="1"/>
  <c r="B22" i="1"/>
  <c r="E22" i="1" s="1"/>
  <c r="B21" i="1"/>
  <c r="E21" i="1" s="1"/>
  <c r="D23" i="1"/>
  <c r="H163" i="1" l="1"/>
  <c r="H160" i="1"/>
  <c r="H161" i="1"/>
  <c r="D162" i="1"/>
  <c r="E162" i="1"/>
  <c r="D161" i="1"/>
  <c r="E161" i="1"/>
  <c r="M161" i="1"/>
  <c r="H164" i="1" s="1"/>
  <c r="H162" i="1"/>
  <c r="E160" i="1"/>
  <c r="D160" i="1"/>
  <c r="E163" i="1"/>
  <c r="D163" i="1"/>
  <c r="D20" i="1"/>
  <c r="D108" i="1"/>
  <c r="E108" i="1"/>
  <c r="E19" i="1"/>
  <c r="E110" i="1"/>
  <c r="D110" i="1"/>
  <c r="D21" i="1"/>
  <c r="D22" i="1"/>
  <c r="B25" i="1"/>
  <c r="B109" i="1" s="1"/>
  <c r="J113" i="1" s="1"/>
  <c r="B164" i="1" l="1"/>
  <c r="D166" i="1"/>
  <c r="E166" i="1"/>
  <c r="D167" i="1"/>
  <c r="B173" i="1"/>
  <c r="E167" i="1"/>
  <c r="B114" i="1"/>
  <c r="B115" i="1"/>
  <c r="B106" i="1"/>
  <c r="E25" i="1"/>
  <c r="D25" i="1"/>
  <c r="B26" i="1"/>
  <c r="D173" i="1" l="1"/>
  <c r="E173" i="1"/>
  <c r="B172" i="1"/>
  <c r="E164" i="1"/>
  <c r="B169" i="1"/>
  <c r="D164" i="1"/>
  <c r="B107" i="1"/>
  <c r="D107" i="1"/>
  <c r="E109" i="1"/>
  <c r="D109" i="1"/>
  <c r="B68" i="1"/>
  <c r="B27" i="1"/>
  <c r="B28" i="1" s="1"/>
  <c r="E28" i="1" s="1"/>
  <c r="D26" i="1"/>
  <c r="E26" i="1"/>
  <c r="E172" i="1" l="1"/>
  <c r="D172" i="1"/>
  <c r="D169" i="1"/>
  <c r="E169" i="1"/>
  <c r="B178" i="1"/>
  <c r="B174" i="1"/>
  <c r="E165" i="1"/>
  <c r="D165" i="1"/>
  <c r="B177" i="1"/>
  <c r="B179" i="1"/>
  <c r="E114" i="1"/>
  <c r="B69" i="1"/>
  <c r="B70" i="1"/>
  <c r="B72" i="1" s="1"/>
  <c r="D72" i="1" s="1"/>
  <c r="D28" i="1"/>
  <c r="D27" i="1"/>
  <c r="B31" i="1"/>
  <c r="E27" i="1"/>
  <c r="D179" i="1" l="1"/>
  <c r="E179" i="1"/>
  <c r="E174" i="1"/>
  <c r="D174" i="1"/>
  <c r="D177" i="1"/>
  <c r="E177" i="1"/>
  <c r="B185" i="1"/>
  <c r="B181" i="1"/>
  <c r="B182" i="1" s="1"/>
  <c r="D178" i="1"/>
  <c r="E178" i="1"/>
  <c r="D115" i="1"/>
  <c r="E115" i="1"/>
  <c r="B119" i="1"/>
  <c r="B118" i="1"/>
  <c r="B117" i="1"/>
  <c r="D114" i="1"/>
  <c r="E119" i="1"/>
  <c r="E72" i="1"/>
  <c r="B73" i="1"/>
  <c r="E73" i="1" s="1"/>
  <c r="B74" i="1"/>
  <c r="I31" i="1"/>
  <c r="D31" i="1"/>
  <c r="G31" i="1" s="1"/>
  <c r="A41" i="1"/>
  <c r="B42" i="1" s="1"/>
  <c r="E31" i="1"/>
  <c r="D60" i="1"/>
  <c r="B32" i="1"/>
  <c r="E32" i="1" s="1"/>
  <c r="D61" i="1"/>
  <c r="B50" i="1"/>
  <c r="E185" i="1" l="1"/>
  <c r="D185" i="1"/>
  <c r="B186" i="1"/>
  <c r="D182" i="1"/>
  <c r="E182" i="1"/>
  <c r="D181" i="1"/>
  <c r="E181" i="1"/>
  <c r="I149" i="1"/>
  <c r="I148" i="1"/>
  <c r="J149" i="1"/>
  <c r="J148" i="1"/>
  <c r="H149" i="1"/>
  <c r="H148" i="1"/>
  <c r="H66" i="1"/>
  <c r="B135" i="1"/>
  <c r="B131" i="1"/>
  <c r="D119" i="1"/>
  <c r="G119" i="1" s="1"/>
  <c r="B120" i="1"/>
  <c r="A125" i="1"/>
  <c r="I117" i="1"/>
  <c r="B148" i="1"/>
  <c r="E118" i="1"/>
  <c r="D118" i="1"/>
  <c r="G118" i="1" s="1"/>
  <c r="D117" i="1"/>
  <c r="G117" i="1" s="1"/>
  <c r="E117" i="1"/>
  <c r="D73" i="1"/>
  <c r="B43" i="1"/>
  <c r="B33" i="1"/>
  <c r="D32" i="1"/>
  <c r="B34" i="1"/>
  <c r="B76" i="1"/>
  <c r="E74" i="1"/>
  <c r="D74" i="1"/>
  <c r="D50" i="1"/>
  <c r="H65" i="1"/>
  <c r="E50" i="1"/>
  <c r="D186" i="1" l="1"/>
  <c r="E186" i="1"/>
  <c r="B157" i="1"/>
  <c r="M154" i="1"/>
  <c r="M153" i="1"/>
  <c r="D33" i="1"/>
  <c r="G33" i="1" s="1"/>
  <c r="B143" i="1"/>
  <c r="F60" i="1"/>
  <c r="B152" i="1"/>
  <c r="B149" i="1"/>
  <c r="E120" i="1"/>
  <c r="D120" i="1"/>
  <c r="B122" i="1"/>
  <c r="B121" i="1"/>
  <c r="E148" i="1"/>
  <c r="D148" i="1"/>
  <c r="B137" i="1"/>
  <c r="B136" i="1"/>
  <c r="B133" i="1"/>
  <c r="B132" i="1"/>
  <c r="B129" i="1"/>
  <c r="B127" i="1"/>
  <c r="B126" i="1"/>
  <c r="F61" i="1"/>
  <c r="I34" i="1"/>
  <c r="B95" i="1"/>
  <c r="E34" i="1"/>
  <c r="I33" i="1"/>
  <c r="E33" i="1"/>
  <c r="E60" i="1"/>
  <c r="D34" i="1"/>
  <c r="G34" i="1" s="1"/>
  <c r="B51" i="1"/>
  <c r="E61" i="1"/>
  <c r="B35" i="1"/>
  <c r="B36" i="1" s="1"/>
  <c r="I76" i="1"/>
  <c r="E76" i="1"/>
  <c r="B77" i="1"/>
  <c r="D76" i="1"/>
  <c r="G76" i="1" s="1"/>
  <c r="A86" i="1"/>
  <c r="B150" i="1" l="1"/>
  <c r="I154" i="1" s="1"/>
  <c r="N153" i="1"/>
  <c r="N154" i="1"/>
  <c r="L153" i="1"/>
  <c r="L154" i="1"/>
  <c r="P153" i="1"/>
  <c r="P154" i="1"/>
  <c r="L149" i="1"/>
  <c r="L148" i="1"/>
  <c r="K149" i="1"/>
  <c r="K148" i="1"/>
  <c r="B52" i="1"/>
  <c r="E52" i="1" s="1"/>
  <c r="B153" i="1"/>
  <c r="E122" i="1"/>
  <c r="D122" i="1"/>
  <c r="E121" i="1"/>
  <c r="I119" i="1"/>
  <c r="D121" i="1"/>
  <c r="B139" i="1"/>
  <c r="D149" i="1"/>
  <c r="E149" i="1"/>
  <c r="B140" i="1"/>
  <c r="B144" i="1" s="1"/>
  <c r="E35" i="1"/>
  <c r="D35" i="1"/>
  <c r="E95" i="1"/>
  <c r="D95" i="1"/>
  <c r="F66" i="1"/>
  <c r="B37" i="1"/>
  <c r="G65" i="1"/>
  <c r="D51" i="1"/>
  <c r="G66" i="1"/>
  <c r="E51" i="1"/>
  <c r="D52" i="1"/>
  <c r="D77" i="1"/>
  <c r="B79" i="1"/>
  <c r="B78" i="1"/>
  <c r="B97" i="1" s="1"/>
  <c r="E77" i="1"/>
  <c r="B88" i="1"/>
  <c r="B87" i="1"/>
  <c r="I36" i="1"/>
  <c r="G61" i="1"/>
  <c r="G60" i="1"/>
  <c r="B54" i="1"/>
  <c r="F65" i="1"/>
  <c r="E36" i="1"/>
  <c r="D36" i="1"/>
  <c r="G36" i="1" s="1"/>
  <c r="I153" i="1" l="1"/>
  <c r="B156" i="1"/>
  <c r="E156" i="1" s="1"/>
  <c r="K154" i="1"/>
  <c r="K153" i="1"/>
  <c r="B53" i="1"/>
  <c r="D53" i="1" s="1"/>
  <c r="H60" i="1"/>
  <c r="B154" i="1"/>
  <c r="J154" i="1" s="1"/>
  <c r="B98" i="1"/>
  <c r="E98" i="1" s="1"/>
  <c r="E150" i="1"/>
  <c r="D150" i="1"/>
  <c r="B151" i="1"/>
  <c r="E37" i="1"/>
  <c r="H61" i="1"/>
  <c r="I37" i="1"/>
  <c r="D37" i="1"/>
  <c r="G37" i="1" s="1"/>
  <c r="B46" i="1" s="1"/>
  <c r="D97" i="1"/>
  <c r="E97" i="1"/>
  <c r="B55" i="1"/>
  <c r="B80" i="1"/>
  <c r="D79" i="1"/>
  <c r="G79" i="1" s="1"/>
  <c r="E79" i="1"/>
  <c r="I79" i="1"/>
  <c r="B99" i="1" s="1"/>
  <c r="D78" i="1"/>
  <c r="G78" i="1" s="1"/>
  <c r="E78" i="1"/>
  <c r="I78" i="1"/>
  <c r="E66" i="1"/>
  <c r="E65" i="1"/>
  <c r="D54" i="1"/>
  <c r="E54" i="1"/>
  <c r="B45" i="1"/>
  <c r="E53" i="1" l="1"/>
  <c r="D66" i="1"/>
  <c r="D65" i="1"/>
  <c r="H154" i="1"/>
  <c r="H153" i="1"/>
  <c r="B155" i="1"/>
  <c r="E155" i="1" s="1"/>
  <c r="J153" i="1"/>
  <c r="B57" i="1"/>
  <c r="D57" i="1" s="1"/>
  <c r="D157" i="1"/>
  <c r="D98" i="1"/>
  <c r="E153" i="1"/>
  <c r="D153" i="1"/>
  <c r="D152" i="1"/>
  <c r="E152" i="1"/>
  <c r="D151" i="1"/>
  <c r="E151" i="1"/>
  <c r="I65" i="1"/>
  <c r="B56" i="1"/>
  <c r="D55" i="1"/>
  <c r="E55" i="1"/>
  <c r="I66" i="1"/>
  <c r="B82" i="1"/>
  <c r="B81" i="1"/>
  <c r="E80" i="1"/>
  <c r="D80" i="1"/>
  <c r="D99" i="1"/>
  <c r="E99" i="1"/>
  <c r="D155" i="1" l="1"/>
  <c r="E57" i="1"/>
  <c r="K66" i="1"/>
  <c r="E157" i="1"/>
  <c r="D56" i="1"/>
  <c r="E56" i="1"/>
  <c r="K65" i="1"/>
  <c r="E81" i="1"/>
  <c r="I81" i="1"/>
  <c r="D81" i="1"/>
  <c r="G80" i="1" s="1"/>
  <c r="D82" i="1"/>
  <c r="G82" i="1" s="1"/>
  <c r="E82" i="1"/>
  <c r="I82" i="1"/>
  <c r="B100" i="1" l="1"/>
  <c r="B90" i="1"/>
  <c r="B91" i="1"/>
  <c r="D156" i="1" l="1"/>
  <c r="B102" i="1"/>
  <c r="D102" i="1" s="1"/>
  <c r="B101" i="1"/>
  <c r="D101" i="1" s="1"/>
  <c r="D100" i="1"/>
  <c r="E100" i="1"/>
  <c r="E154" i="1" l="1"/>
  <c r="D154" i="1"/>
  <c r="E101" i="1"/>
</calcChain>
</file>

<file path=xl/sharedStrings.xml><?xml version="1.0" encoding="utf-8"?>
<sst xmlns="http://schemas.openxmlformats.org/spreadsheetml/2006/main" count="255" uniqueCount="154">
  <si>
    <t>Входные данные</t>
  </si>
  <si>
    <t>E</t>
  </si>
  <si>
    <t>ψ</t>
  </si>
  <si>
    <t>R1</t>
  </si>
  <si>
    <t>R2</t>
  </si>
  <si>
    <t>R3</t>
  </si>
  <si>
    <t>R4</t>
  </si>
  <si>
    <t>XL1</t>
  </si>
  <si>
    <t>XL2</t>
  </si>
  <si>
    <t>XL3</t>
  </si>
  <si>
    <t>XC1</t>
  </si>
  <si>
    <t>XC2</t>
  </si>
  <si>
    <t>XC3</t>
  </si>
  <si>
    <t>Xm</t>
  </si>
  <si>
    <t>f</t>
  </si>
  <si>
    <t>в комплексном виде</t>
  </si>
  <si>
    <t>Сопротивления</t>
  </si>
  <si>
    <t>ЕФ</t>
  </si>
  <si>
    <t>°</t>
  </si>
  <si>
    <t>R</t>
  </si>
  <si>
    <t>алгебраичечкая форма</t>
  </si>
  <si>
    <t>Z45</t>
  </si>
  <si>
    <t>Z345</t>
  </si>
  <si>
    <t>Z2345</t>
  </si>
  <si>
    <t>Z общее</t>
  </si>
  <si>
    <t>Токи</t>
  </si>
  <si>
    <t>I1</t>
  </si>
  <si>
    <t>I</t>
  </si>
  <si>
    <t>Z1</t>
  </si>
  <si>
    <t>Z2</t>
  </si>
  <si>
    <t>Z3</t>
  </si>
  <si>
    <t>Z4</t>
  </si>
  <si>
    <t>Z5</t>
  </si>
  <si>
    <t>E2345</t>
  </si>
  <si>
    <t>I2</t>
  </si>
  <si>
    <t>I3</t>
  </si>
  <si>
    <t>E45</t>
  </si>
  <si>
    <t>I4</t>
  </si>
  <si>
    <t>I5</t>
  </si>
  <si>
    <t>Баланс мощностей</t>
  </si>
  <si>
    <t>Генерируемая</t>
  </si>
  <si>
    <t>активная</t>
  </si>
  <si>
    <t>реактивная</t>
  </si>
  <si>
    <t>Потребляемая</t>
  </si>
  <si>
    <t>Потенциалы</t>
  </si>
  <si>
    <t>φ</t>
  </si>
  <si>
    <t>φ6</t>
  </si>
  <si>
    <t>φ1`</t>
  </si>
  <si>
    <t>φ4</t>
  </si>
  <si>
    <t>φ3</t>
  </si>
  <si>
    <t>φ1</t>
  </si>
  <si>
    <t>φ2</t>
  </si>
  <si>
    <t>φ7</t>
  </si>
  <si>
    <t>φ2`</t>
  </si>
  <si>
    <t>Векторная диаграмма</t>
  </si>
  <si>
    <t>φ1'</t>
  </si>
  <si>
    <t>φ2'</t>
  </si>
  <si>
    <t>Вольтметр</t>
  </si>
  <si>
    <t>=</t>
  </si>
  <si>
    <t>a</t>
  </si>
  <si>
    <t>b</t>
  </si>
  <si>
    <t>a+b</t>
  </si>
  <si>
    <t>a*b</t>
  </si>
  <si>
    <t>a/b</t>
  </si>
  <si>
    <t>алгебраическая</t>
  </si>
  <si>
    <t>експоненциальная</t>
  </si>
  <si>
    <t>для паралельно соеденых веток a и b</t>
  </si>
  <si>
    <t>ab</t>
  </si>
  <si>
    <t>10+0j</t>
  </si>
  <si>
    <t>а сопряженное</t>
  </si>
  <si>
    <t>`</t>
  </si>
  <si>
    <t>a-b</t>
  </si>
  <si>
    <t>В резонансном режиме</t>
  </si>
  <si>
    <t>X2</t>
  </si>
  <si>
    <t>I1'</t>
  </si>
  <si>
    <t>E'2345</t>
  </si>
  <si>
    <t>I'2</t>
  </si>
  <si>
    <t>I'3</t>
  </si>
  <si>
    <t>E'45</t>
  </si>
  <si>
    <t>I'4</t>
  </si>
  <si>
    <t>I'5</t>
  </si>
  <si>
    <t>Z'2345</t>
  </si>
  <si>
    <t>Z'</t>
  </si>
  <si>
    <t>1/Z345</t>
  </si>
  <si>
    <t>Y2345</t>
  </si>
  <si>
    <t>jX2</t>
  </si>
  <si>
    <t>φ5</t>
  </si>
  <si>
    <t>30+10j</t>
  </si>
  <si>
    <t>20-20j</t>
  </si>
  <si>
    <t>40,808+91,29j</t>
  </si>
  <si>
    <t>26,923-9,615j</t>
  </si>
  <si>
    <t>Z23</t>
  </si>
  <si>
    <t>Z</t>
  </si>
  <si>
    <t>L1</t>
  </si>
  <si>
    <t>L2</t>
  </si>
  <si>
    <t>L3</t>
  </si>
  <si>
    <t>C1</t>
  </si>
  <si>
    <t>C2</t>
  </si>
  <si>
    <t>C3</t>
  </si>
  <si>
    <t>10j</t>
  </si>
  <si>
    <t>40j</t>
  </si>
  <si>
    <t>0-20j</t>
  </si>
  <si>
    <t>0-15j</t>
  </si>
  <si>
    <t>0-30j</t>
  </si>
  <si>
    <t>j</t>
  </si>
  <si>
    <t>II)При магнитной связи индуктивных елементов</t>
  </si>
  <si>
    <t>Zm</t>
  </si>
  <si>
    <t>Ze</t>
  </si>
  <si>
    <t>Z11</t>
  </si>
  <si>
    <t>Z22</t>
  </si>
  <si>
    <t>Z12=Z21</t>
  </si>
  <si>
    <t>Eк1</t>
  </si>
  <si>
    <t>Ек2</t>
  </si>
  <si>
    <t>Ik2</t>
  </si>
  <si>
    <t>Ik1</t>
  </si>
  <si>
    <t>I^2</t>
  </si>
  <si>
    <t>Re</t>
  </si>
  <si>
    <t>Qc=Q'+Qm</t>
  </si>
  <si>
    <t>Q'</t>
  </si>
  <si>
    <t>Qm</t>
  </si>
  <si>
    <t>Xe</t>
  </si>
  <si>
    <t>Sm1</t>
  </si>
  <si>
    <t>мощность взаимоиндукции</t>
  </si>
  <si>
    <t>Sm2</t>
  </si>
  <si>
    <t>Pm1</t>
  </si>
  <si>
    <t>Qm1</t>
  </si>
  <si>
    <t>Pm</t>
  </si>
  <si>
    <t>φ8</t>
  </si>
  <si>
    <t>ω</t>
  </si>
  <si>
    <t>U45</t>
  </si>
  <si>
    <t>A11</t>
  </si>
  <si>
    <t>A22</t>
  </si>
  <si>
    <t>A12</t>
  </si>
  <si>
    <t>A21</t>
  </si>
  <si>
    <t>Проверка</t>
  </si>
  <si>
    <t>detA</t>
  </si>
  <si>
    <t>Параметры Т-подобной замены</t>
  </si>
  <si>
    <t>Z1t</t>
  </si>
  <si>
    <t>Z2t</t>
  </si>
  <si>
    <t>Z3t</t>
  </si>
  <si>
    <t>Вторичные параметры</t>
  </si>
  <si>
    <t>ZC1</t>
  </si>
  <si>
    <t>Zc2</t>
  </si>
  <si>
    <t>y</t>
  </si>
  <si>
    <t>U2</t>
  </si>
  <si>
    <t>Z11*Z22-Z12*Z21</t>
  </si>
  <si>
    <t>Расcчёт четырьохполюсника</t>
  </si>
  <si>
    <t>φ9</t>
  </si>
  <si>
    <t>Z234</t>
  </si>
  <si>
    <t>Z34</t>
  </si>
  <si>
    <t>Z10</t>
  </si>
  <si>
    <t>Z20</t>
  </si>
  <si>
    <t>Z2k</t>
  </si>
  <si>
    <t>Z12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</si>
</sst>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topLeftCell="A166" workbookViewId="0">
      <selection activeCell="B181" sqref="B181"/>
    </sheetView>
  </sheetViews>
  <sheetFormatPr defaultRowHeight="15" x14ac:dyDescent="0.25"/>
  <cols>
    <col min="1" max="1" width="12" customWidth="1"/>
    <col min="2" max="2" width="34.5703125" bestFit="1" customWidth="1"/>
    <col min="9" max="9" width="10.5703125" customWidth="1"/>
    <col min="10" max="10" width="9.28515625" customWidth="1"/>
    <col min="11" max="11" width="9" customWidth="1"/>
  </cols>
  <sheetData>
    <row r="1" spans="1:4" x14ac:dyDescent="0.25">
      <c r="A1" t="s">
        <v>0</v>
      </c>
      <c r="D1" t="s">
        <v>15</v>
      </c>
    </row>
    <row r="2" spans="1:4" x14ac:dyDescent="0.25">
      <c r="A2" t="s">
        <v>1</v>
      </c>
      <c r="B2" s="2">
        <v>280</v>
      </c>
      <c r="D2" t="str">
        <f>COMPLEX(0,B2,"j")</f>
        <v>280j</v>
      </c>
    </row>
    <row r="3" spans="1:4" x14ac:dyDescent="0.25">
      <c r="A3" s="1" t="s">
        <v>2</v>
      </c>
      <c r="B3" s="2">
        <v>90</v>
      </c>
    </row>
    <row r="4" spans="1:4" x14ac:dyDescent="0.25">
      <c r="A4" t="s">
        <v>3</v>
      </c>
      <c r="B4" s="2">
        <v>22</v>
      </c>
      <c r="D4" t="str">
        <f>COMPLEX(B4,0,"j")</f>
        <v>22</v>
      </c>
    </row>
    <row r="5" spans="1:4" x14ac:dyDescent="0.25">
      <c r="A5" t="s">
        <v>4</v>
      </c>
      <c r="B5" s="2">
        <v>21</v>
      </c>
      <c r="D5" t="str">
        <f t="shared" ref="D5:D7" si="0">COMPLEX(B5,0,"j")</f>
        <v>21</v>
      </c>
    </row>
    <row r="6" spans="1:4" x14ac:dyDescent="0.25">
      <c r="A6" t="s">
        <v>5</v>
      </c>
      <c r="B6" s="2">
        <v>6</v>
      </c>
      <c r="D6" t="str">
        <f t="shared" si="0"/>
        <v>6</v>
      </c>
    </row>
    <row r="7" spans="1:4" x14ac:dyDescent="0.25">
      <c r="A7" t="s">
        <v>6</v>
      </c>
      <c r="B7" s="2">
        <v>19</v>
      </c>
      <c r="D7" t="str">
        <f t="shared" si="0"/>
        <v>19</v>
      </c>
    </row>
    <row r="8" spans="1:4" x14ac:dyDescent="0.25">
      <c r="A8" t="s">
        <v>7</v>
      </c>
      <c r="B8" s="2">
        <v>55</v>
      </c>
      <c r="D8" t="str">
        <f>COMPLEX(0,B8,"j")</f>
        <v>55j</v>
      </c>
    </row>
    <row r="9" spans="1:4" x14ac:dyDescent="0.25">
      <c r="A9" t="s">
        <v>8</v>
      </c>
      <c r="B9" s="2">
        <v>45</v>
      </c>
      <c r="D9" t="str">
        <f>COMPLEX(0,B9,"j")</f>
        <v>45j</v>
      </c>
    </row>
    <row r="10" spans="1:4" x14ac:dyDescent="0.25">
      <c r="A10" t="s">
        <v>9</v>
      </c>
      <c r="B10" s="2">
        <v>30</v>
      </c>
      <c r="D10" t="str">
        <f>COMPLEX(0,B10,"j")</f>
        <v>30j</v>
      </c>
    </row>
    <row r="11" spans="1:4" x14ac:dyDescent="0.25">
      <c r="A11" t="s">
        <v>10</v>
      </c>
      <c r="B11" s="2">
        <v>17</v>
      </c>
      <c r="D11" t="str">
        <f>COMPLEX(0,-B11,"j")</f>
        <v>-17j</v>
      </c>
    </row>
    <row r="12" spans="1:4" x14ac:dyDescent="0.25">
      <c r="A12" t="s">
        <v>11</v>
      </c>
      <c r="B12" s="2">
        <v>13</v>
      </c>
      <c r="D12" t="str">
        <f>COMPLEX(0,-B12,"j")</f>
        <v>-13j</v>
      </c>
    </row>
    <row r="13" spans="1:4" x14ac:dyDescent="0.25">
      <c r="A13" t="s">
        <v>12</v>
      </c>
      <c r="B13" s="2">
        <v>10</v>
      </c>
      <c r="D13" t="str">
        <f>COMPLEX(0,-B13,"j")</f>
        <v>-10j</v>
      </c>
    </row>
    <row r="14" spans="1:4" x14ac:dyDescent="0.25">
      <c r="A14" t="s">
        <v>13</v>
      </c>
      <c r="B14" s="2">
        <v>22</v>
      </c>
    </row>
    <row r="15" spans="1:4" x14ac:dyDescent="0.25">
      <c r="A15" t="s">
        <v>14</v>
      </c>
      <c r="B15" s="2">
        <v>60</v>
      </c>
    </row>
    <row r="17" spans="1:9" x14ac:dyDescent="0.25">
      <c r="A17" t="s">
        <v>16</v>
      </c>
      <c r="D17" t="s">
        <v>17</v>
      </c>
    </row>
    <row r="18" spans="1:9" x14ac:dyDescent="0.25">
      <c r="B18" t="s">
        <v>20</v>
      </c>
      <c r="D18" t="s">
        <v>19</v>
      </c>
      <c r="E18" s="1" t="s">
        <v>18</v>
      </c>
    </row>
    <row r="19" spans="1:9" x14ac:dyDescent="0.25">
      <c r="A19" t="s">
        <v>28</v>
      </c>
      <c r="B19" t="str">
        <f>IMSUM(_R1,_C1)</f>
        <v>22-17j</v>
      </c>
      <c r="D19">
        <f t="shared" ref="D19" si="1">IMABS(B19)</f>
        <v>27.802877548915689</v>
      </c>
      <c r="E19">
        <f t="shared" ref="E19" si="2">DEGREES(IMARGUMENT(B19))</f>
        <v>-37.694240466689173</v>
      </c>
      <c r="I19" s="3"/>
    </row>
    <row r="20" spans="1:9" x14ac:dyDescent="0.25">
      <c r="A20" t="s">
        <v>29</v>
      </c>
      <c r="B20" t="str">
        <f>IMSUM(_R2,_L2)</f>
        <v>21+45j</v>
      </c>
      <c r="D20">
        <f t="shared" ref="D20:D23" si="3">IMABS(B20)</f>
        <v>49.658836071740552</v>
      </c>
      <c r="E20">
        <f t="shared" ref="E20:E23" si="4">DEGREES(IMARGUMENT(B20))</f>
        <v>64.98310652189997</v>
      </c>
    </row>
    <row r="21" spans="1:9" x14ac:dyDescent="0.25">
      <c r="A21" t="s">
        <v>30</v>
      </c>
      <c r="B21" t="str">
        <f>IMSUM(_L1,_R3,_C2)</f>
        <v>6+42j</v>
      </c>
      <c r="D21">
        <f t="shared" si="3"/>
        <v>42.426406871192853</v>
      </c>
      <c r="E21">
        <f t="shared" si="4"/>
        <v>81.869897645844034</v>
      </c>
    </row>
    <row r="22" spans="1:9" x14ac:dyDescent="0.25">
      <c r="A22" t="s">
        <v>31</v>
      </c>
      <c r="B22" t="str">
        <f>IMSUM(_R4,_C3)</f>
        <v>19-10j</v>
      </c>
      <c r="D22">
        <f t="shared" si="3"/>
        <v>21.470910553583888</v>
      </c>
      <c r="E22">
        <f t="shared" si="4"/>
        <v>-27.758540601060023</v>
      </c>
    </row>
    <row r="23" spans="1:9" x14ac:dyDescent="0.25">
      <c r="A23" t="s">
        <v>32</v>
      </c>
      <c r="B23" t="str">
        <f>_L3</f>
        <v>30j</v>
      </c>
      <c r="D23">
        <f t="shared" si="3"/>
        <v>30</v>
      </c>
      <c r="E23">
        <f t="shared" si="4"/>
        <v>90</v>
      </c>
    </row>
    <row r="25" spans="1:9" x14ac:dyDescent="0.25">
      <c r="A25" t="s">
        <v>21</v>
      </c>
      <c r="B25" t="str">
        <f>IMDIV(IMPRODUCT(_Z4,_Z5),IMSUM(_Z4,_Z5))</f>
        <v>22,4704336399474+6,34691195795007j</v>
      </c>
      <c r="D25">
        <f>IMABS(B25)</f>
        <v>23.349596985156925</v>
      </c>
      <c r="E25">
        <f>DEGREES(IMARGUMENT(B25))</f>
        <v>15.772658684554187</v>
      </c>
    </row>
    <row r="26" spans="1:9" x14ac:dyDescent="0.25">
      <c r="A26" t="s">
        <v>22</v>
      </c>
      <c r="B26" t="str">
        <f>IMSUM(_Z3,_Z45)</f>
        <v>28,4704336399474+48,3469119579501j</v>
      </c>
      <c r="D26">
        <f>IMABS(B26)</f>
        <v>56.1069468739516</v>
      </c>
      <c r="E26">
        <f>DEGREES(IMARGUMENT(B26))</f>
        <v>59.50710411843162</v>
      </c>
    </row>
    <row r="27" spans="1:9" x14ac:dyDescent="0.25">
      <c r="A27" t="s">
        <v>23</v>
      </c>
      <c r="B27" t="str">
        <f>IMDIV(IMPRODUCT(_Z2,_Z345),IMSUM(_Z2,_Z345))</f>
        <v>12,2136222319709+23,3745827690782j</v>
      </c>
      <c r="D27">
        <f>IMABS(B27)</f>
        <v>26.37316226116582</v>
      </c>
      <c r="E27">
        <f>DEGREES(IMARGUMENT(B27))</f>
        <v>62.412156854729083</v>
      </c>
    </row>
    <row r="28" spans="1:9" x14ac:dyDescent="0.25">
      <c r="A28" t="s">
        <v>24</v>
      </c>
      <c r="B28" t="str">
        <f>IMSUM(_Z1,_Z2345)</f>
        <v>34,2136222319709+6,3745827690782j</v>
      </c>
      <c r="D28">
        <f>IMABS(B28)</f>
        <v>34.802402958874005</v>
      </c>
      <c r="E28">
        <f>DEGREES(IMARGUMENT(B28))</f>
        <v>10.554167723127287</v>
      </c>
    </row>
    <row r="30" spans="1:9" x14ac:dyDescent="0.25">
      <c r="A30" t="s">
        <v>25</v>
      </c>
      <c r="I30">
        <v>-1</v>
      </c>
    </row>
    <row r="31" spans="1:9" x14ac:dyDescent="0.25">
      <c r="A31" t="s">
        <v>26</v>
      </c>
      <c r="B31" t="str">
        <f>IMDIV(_E,_Z)</f>
        <v>1,47363976959291+7,90931049282636j</v>
      </c>
      <c r="D31">
        <f t="shared" ref="D31:D37" si="5">IMABS(B31)</f>
        <v>8.0454214707782086</v>
      </c>
      <c r="E31">
        <f t="shared" ref="E31:E37" si="6">DEGREES(IMARGUMENT(B31))</f>
        <v>79.445832276872679</v>
      </c>
      <c r="G31">
        <f>D31*D31</f>
        <v>64.728806642458991</v>
      </c>
      <c r="I31" t="str">
        <f>IMPRODUCT(_I1,-1)</f>
        <v>-1,47363976959291-7,90931049282636j</v>
      </c>
    </row>
    <row r="32" spans="1:9" x14ac:dyDescent="0.25">
      <c r="A32" t="s">
        <v>33</v>
      </c>
      <c r="B32" t="str">
        <f>IMPRODUCT(_I1,_Z2345)</f>
        <v>-166,878353309092+131,0470452409j</v>
      </c>
      <c r="D32">
        <f t="shared" si="5"/>
        <v>212.1832059083014</v>
      </c>
      <c r="E32">
        <f t="shared" si="6"/>
        <v>141.85798913160167</v>
      </c>
    </row>
    <row r="33" spans="1:9" x14ac:dyDescent="0.25">
      <c r="A33" t="s">
        <v>34</v>
      </c>
      <c r="B33" t="str">
        <f>IMDIV(_E2345,_Z2)</f>
        <v>0,970264240206637+4,16119783007625j</v>
      </c>
      <c r="D33">
        <f t="shared" si="5"/>
        <v>4.2728187507610302</v>
      </c>
      <c r="E33">
        <f t="shared" si="6"/>
        <v>76.874882609701686</v>
      </c>
      <c r="G33">
        <f>D33*D33</f>
        <v>18.256980076855051</v>
      </c>
      <c r="I33" t="str">
        <f>IMPRODUCT(_I2,-1)</f>
        <v>-0,970264240206637-4,16119783007625j</v>
      </c>
    </row>
    <row r="34" spans="1:9" x14ac:dyDescent="0.25">
      <c r="A34" t="s">
        <v>35</v>
      </c>
      <c r="B34" t="str">
        <f>IMDIV(_E2345,_Z345)</f>
        <v>0,503375529386302+3,74811266275012j</v>
      </c>
      <c r="D34">
        <f t="shared" si="5"/>
        <v>3.7817635378554191</v>
      </c>
      <c r="E34">
        <f t="shared" si="6"/>
        <v>82.350885013170057</v>
      </c>
      <c r="G34">
        <f>D34*D34</f>
        <v>14.301735456252736</v>
      </c>
      <c r="I34" t="str">
        <f>IMPRODUCT(_I3,-1)</f>
        <v>-0,503375529386302-3,74811266275012j</v>
      </c>
    </row>
    <row r="35" spans="1:9" x14ac:dyDescent="0.25">
      <c r="A35" t="s">
        <v>36</v>
      </c>
      <c r="B35" t="str">
        <f>IMPRODUCT(_I3,_Z45)</f>
        <v>-12,4778746499045+87,4165970301745j</v>
      </c>
      <c r="D35">
        <f t="shared" si="5"/>
        <v>88.302654502085289</v>
      </c>
      <c r="E35">
        <f t="shared" si="6"/>
        <v>98.123543697724216</v>
      </c>
    </row>
    <row r="36" spans="1:9" x14ac:dyDescent="0.25">
      <c r="A36" t="s">
        <v>37</v>
      </c>
      <c r="B36" t="str">
        <f>IMDIV(_E45,_Z4)</f>
        <v>-2,41051103828618+3,3321835077533j</v>
      </c>
      <c r="D36">
        <f t="shared" si="5"/>
        <v>4.1126646343997715</v>
      </c>
      <c r="E36">
        <f t="shared" si="6"/>
        <v>125.88208429878418</v>
      </c>
      <c r="G36">
        <f>D36*D36</f>
        <v>16.914010395042606</v>
      </c>
      <c r="I36" t="str">
        <f>IMPRODUCT(_I4,-1)</f>
        <v>2,41051103828618-3,3321835077533j</v>
      </c>
    </row>
    <row r="37" spans="1:9" x14ac:dyDescent="0.25">
      <c r="A37" t="s">
        <v>38</v>
      </c>
      <c r="B37" t="str">
        <f>IMDIV(_E45,_Z5)</f>
        <v>2,91388656767248+0,415929154996817j</v>
      </c>
      <c r="D37">
        <f t="shared" si="5"/>
        <v>2.9434218167361728</v>
      </c>
      <c r="E37">
        <f t="shared" si="6"/>
        <v>8.1235436977242408</v>
      </c>
      <c r="G37">
        <f>D37*D37</f>
        <v>8.6637319912384712</v>
      </c>
      <c r="I37" t="str">
        <f>IMPRODUCT(_I5,-1)</f>
        <v>-2,91388656767248-0,415929154996817j</v>
      </c>
    </row>
    <row r="39" spans="1:9" x14ac:dyDescent="0.25">
      <c r="A39" t="s">
        <v>39</v>
      </c>
    </row>
    <row r="40" spans="1:9" x14ac:dyDescent="0.25">
      <c r="A40" t="s">
        <v>40</v>
      </c>
    </row>
    <row r="41" spans="1:9" x14ac:dyDescent="0.25">
      <c r="A41" t="str">
        <f>IMPRODUCT(_E,IMCONJUGATE(_I1))</f>
        <v>2214,60693799138+412,619135486015j</v>
      </c>
    </row>
    <row r="42" spans="1:9" x14ac:dyDescent="0.25">
      <c r="A42" t="s">
        <v>41</v>
      </c>
      <c r="B42">
        <f>IMREAL(A41)</f>
        <v>2214.6069379913802</v>
      </c>
    </row>
    <row r="43" spans="1:9" x14ac:dyDescent="0.25">
      <c r="A43" t="s">
        <v>42</v>
      </c>
      <c r="B43">
        <f>IMAGINARY(A41)</f>
        <v>412.61913548601501</v>
      </c>
    </row>
    <row r="44" spans="1:9" x14ac:dyDescent="0.25">
      <c r="A44" t="s">
        <v>43</v>
      </c>
    </row>
    <row r="45" spans="1:9" x14ac:dyDescent="0.25">
      <c r="A45" t="s">
        <v>41</v>
      </c>
      <c r="B45">
        <f>_R1*_I1_2+_R2*_I2_2+_R3*_I3_2+_R4*_I4_2</f>
        <v>2214.6069379913797</v>
      </c>
    </row>
    <row r="46" spans="1:9" x14ac:dyDescent="0.25">
      <c r="A46" t="s">
        <v>42</v>
      </c>
      <c r="B46">
        <f>-_X_C1*_I1_2+_X_L2*_I2_2+(_X_L1-_X_C2)*_I3_2-_X_C3*_I4_2+_X_L3*_I5_2</f>
        <v>412.61913548601734</v>
      </c>
    </row>
    <row r="48" spans="1:9" x14ac:dyDescent="0.25">
      <c r="A48" t="s">
        <v>44</v>
      </c>
    </row>
    <row r="49" spans="1:11" x14ac:dyDescent="0.25">
      <c r="A49" s="4" t="s">
        <v>47</v>
      </c>
      <c r="B49">
        <v>0</v>
      </c>
    </row>
    <row r="50" spans="1:11" x14ac:dyDescent="0.25">
      <c r="A50" t="s">
        <v>46</v>
      </c>
      <c r="B50" t="str">
        <f>IMSUM(IMPRODUCT(_I1,_C1),_fi1_1)</f>
        <v>134,458278378048-25,0518760830795j</v>
      </c>
      <c r="D50">
        <f>IMABS(B50)</f>
        <v>136.77216500322945</v>
      </c>
      <c r="E50">
        <f>DEGREES(IMARGUMENT(B50))</f>
        <v>-10.554167723127337</v>
      </c>
    </row>
    <row r="51" spans="1:11" x14ac:dyDescent="0.25">
      <c r="A51" t="s">
        <v>48</v>
      </c>
      <c r="B51" t="str">
        <f>IMSUM(IMPRODUCT(_I2,_R2),_fi6)</f>
        <v>154,833827422387+62,3332783485218j</v>
      </c>
      <c r="D51">
        <f t="shared" ref="D51:D56" si="7">IMABS(B51)</f>
        <v>166.91001079605687</v>
      </c>
      <c r="E51">
        <f t="shared" ref="E51:E57" si="8">DEGREES(IMARGUMENT(B51))</f>
        <v>21.928817644075604</v>
      </c>
    </row>
    <row r="52" spans="1:11" x14ac:dyDescent="0.25">
      <c r="A52" t="s">
        <v>49</v>
      </c>
      <c r="B52" t="str">
        <f>IMSUM(IMPRODUCT(_I2,_L2),_fi4)</f>
        <v>-32,420074931044+105,99516915782j</v>
      </c>
      <c r="D52">
        <f t="shared" si="7"/>
        <v>110.84239776966838</v>
      </c>
      <c r="E52">
        <f t="shared" si="8"/>
        <v>107.00696980854737</v>
      </c>
    </row>
    <row r="53" spans="1:11" x14ac:dyDescent="0.25">
      <c r="A53" t="s">
        <v>50</v>
      </c>
      <c r="B53" t="str">
        <f>IMSUM(IMPRODUCT(_I1,_R1),_fi3)</f>
        <v>280j</v>
      </c>
      <c r="D53">
        <f t="shared" si="7"/>
        <v>280</v>
      </c>
      <c r="E53">
        <f t="shared" si="8"/>
        <v>90</v>
      </c>
    </row>
    <row r="54" spans="1:11" x14ac:dyDescent="0.25">
      <c r="A54" t="s">
        <v>51</v>
      </c>
      <c r="B54" t="str">
        <f>IMSUM(IMPRODUCT(I34,_L1),_fi3)</f>
        <v>173,726121520213+78,3095150415734j</v>
      </c>
      <c r="D54">
        <f t="shared" si="7"/>
        <v>190.56008355503582</v>
      </c>
      <c r="E54">
        <f t="shared" si="8"/>
        <v>24.264146593126814</v>
      </c>
    </row>
    <row r="55" spans="1:11" x14ac:dyDescent="0.25">
      <c r="A55" t="s">
        <v>52</v>
      </c>
      <c r="B55" t="str">
        <f>IMSUM(IMPRODUCT(I36,_R4),_fi2)</f>
        <v>219,52583124765+14,9980283942607j</v>
      </c>
      <c r="D55">
        <f t="shared" si="7"/>
        <v>220.0375682484397</v>
      </c>
      <c r="E55">
        <f t="shared" si="8"/>
        <v>3.9083804002183795</v>
      </c>
    </row>
    <row r="56" spans="1:11" x14ac:dyDescent="0.25">
      <c r="A56" t="s">
        <v>53</v>
      </c>
      <c r="B56" t="str">
        <f>IMSUM(IMPRODUCT(I36,_C3),_fi7)</f>
        <v>186,203996170117-9,1070819886011j</v>
      </c>
      <c r="D56">
        <f t="shared" si="7"/>
        <v>186.4265730309605</v>
      </c>
      <c r="E56">
        <f t="shared" si="8"/>
        <v>-2.800057482941559</v>
      </c>
    </row>
    <row r="57" spans="1:11" x14ac:dyDescent="0.25">
      <c r="A57" t="s">
        <v>57</v>
      </c>
      <c r="B57" s="2" t="str">
        <f>IMSUB(_fi4,_fi7)</f>
        <v>-64,692003825263+47,3352499542611j</v>
      </c>
      <c r="C57" s="2" t="s">
        <v>58</v>
      </c>
      <c r="D57" s="8">
        <f>IMABS(B57)</f>
        <v>80.16034709979877</v>
      </c>
      <c r="E57">
        <f t="shared" si="8"/>
        <v>143.80700185589643</v>
      </c>
    </row>
    <row r="58" spans="1:11" x14ac:dyDescent="0.25">
      <c r="B58" t="s">
        <v>54</v>
      </c>
    </row>
    <row r="59" spans="1:11" x14ac:dyDescent="0.25">
      <c r="C59" s="5" t="s">
        <v>27</v>
      </c>
      <c r="D59" s="5" t="s">
        <v>26</v>
      </c>
      <c r="E59" s="5" t="s">
        <v>34</v>
      </c>
      <c r="F59" s="5" t="s">
        <v>35</v>
      </c>
      <c r="G59" s="5" t="s">
        <v>37</v>
      </c>
      <c r="H59" s="5" t="s">
        <v>38</v>
      </c>
    </row>
    <row r="60" spans="1:11" x14ac:dyDescent="0.25">
      <c r="C60" s="5">
        <v>1</v>
      </c>
      <c r="D60" s="7">
        <f>IMREAL(_I1)</f>
        <v>1.47363976959291</v>
      </c>
      <c r="E60" s="7">
        <f>IMREAL(_I2)</f>
        <v>0.97026424020663704</v>
      </c>
      <c r="F60" s="7">
        <f>IMREAL(_I3)</f>
        <v>0.50337552938630203</v>
      </c>
      <c r="G60" s="7">
        <f>IMREAL(_I4)</f>
        <v>-2.4105110382861801</v>
      </c>
      <c r="H60" s="7">
        <f>IMREAL(_I5)</f>
        <v>2.9138865676724799</v>
      </c>
    </row>
    <row r="61" spans="1:11" x14ac:dyDescent="0.25">
      <c r="C61" s="5" t="s">
        <v>104</v>
      </c>
      <c r="D61" s="7">
        <f>IMAGINARY(_I1)</f>
        <v>7.9093104928263598</v>
      </c>
      <c r="E61" s="7">
        <f>IMAGINARY(_I2)</f>
        <v>4.16119783007625</v>
      </c>
      <c r="F61" s="7">
        <f>IMAGINARY(_I3)</f>
        <v>3.74811266275012</v>
      </c>
      <c r="G61" s="7">
        <f>IMAGINARY(_I4)</f>
        <v>3.3321835077533</v>
      </c>
      <c r="H61" s="7">
        <f>IMAGINARY(_I5)</f>
        <v>0.41592915499681699</v>
      </c>
    </row>
    <row r="64" spans="1:11" x14ac:dyDescent="0.25">
      <c r="C64" s="5" t="s">
        <v>45</v>
      </c>
      <c r="D64" s="5" t="s">
        <v>50</v>
      </c>
      <c r="E64" s="5" t="s">
        <v>51</v>
      </c>
      <c r="F64" s="5" t="s">
        <v>49</v>
      </c>
      <c r="G64" s="5" t="s">
        <v>48</v>
      </c>
      <c r="H64" s="5" t="s">
        <v>46</v>
      </c>
      <c r="I64" s="5" t="s">
        <v>52</v>
      </c>
      <c r="J64" s="5" t="s">
        <v>55</v>
      </c>
      <c r="K64" s="5" t="s">
        <v>56</v>
      </c>
    </row>
    <row r="65" spans="1:11" x14ac:dyDescent="0.25">
      <c r="C65" s="5">
        <v>1</v>
      </c>
      <c r="D65" s="6">
        <f>IMREAL(_fi1)</f>
        <v>0</v>
      </c>
      <c r="E65" s="6">
        <f>IMREAL(_fi2)</f>
        <v>173.72612152021301</v>
      </c>
      <c r="F65" s="6">
        <f>IMREAL(_fi3)</f>
        <v>-32.420074931043999</v>
      </c>
      <c r="G65" s="6">
        <f>IMREAL(_fi4)</f>
        <v>154.833827422387</v>
      </c>
      <c r="H65" s="6">
        <f>IMREAL(_fi6)</f>
        <v>134.45827837804799</v>
      </c>
      <c r="I65" s="6">
        <f>IMREAL(_fi7)</f>
        <v>219.52583124764999</v>
      </c>
      <c r="J65" s="6">
        <f>IMREAL(_fi1_1)</f>
        <v>0</v>
      </c>
      <c r="K65" s="6">
        <f>IMREAL(_fi2_2)</f>
        <v>186.20399617011699</v>
      </c>
    </row>
    <row r="66" spans="1:11" x14ac:dyDescent="0.25">
      <c r="C66" s="5" t="s">
        <v>104</v>
      </c>
      <c r="D66" s="6">
        <f>IMAGINARY(_fi1)</f>
        <v>280</v>
      </c>
      <c r="E66" s="6">
        <f>IMAGINARY(_fi2)</f>
        <v>78.309515041573405</v>
      </c>
      <c r="F66" s="6">
        <f>IMAGINARY(_fi4)</f>
        <v>62.333278348521802</v>
      </c>
      <c r="G66" s="6">
        <f>IMAGINARY(_fi4)</f>
        <v>62.333278348521802</v>
      </c>
      <c r="H66" s="6">
        <f>IMAGINARY(_fi6)</f>
        <v>-25.051876083079499</v>
      </c>
      <c r="I66" s="6">
        <f>IMAGINARY(_fi7)</f>
        <v>14.9980283942607</v>
      </c>
      <c r="J66" s="6">
        <f>IMAGINARY(_fi1_1)</f>
        <v>0</v>
      </c>
      <c r="K66" s="6">
        <f>IMAGINARY(_fi2_2)</f>
        <v>-9.1070819886011005</v>
      </c>
    </row>
    <row r="67" spans="1:11" x14ac:dyDescent="0.25">
      <c r="A67" t="s">
        <v>72</v>
      </c>
    </row>
    <row r="68" spans="1:11" x14ac:dyDescent="0.25">
      <c r="A68" t="s">
        <v>83</v>
      </c>
      <c r="B68" t="str">
        <f>IMDIV(1,_Z345)</f>
        <v>0,00904400530969017-0,0153580284018334j</v>
      </c>
    </row>
    <row r="69" spans="1:11" x14ac:dyDescent="0.25">
      <c r="A69" t="s">
        <v>84</v>
      </c>
      <c r="B69">
        <f>IMREAL(B68)</f>
        <v>9.0440053096901701E-3</v>
      </c>
    </row>
    <row r="70" spans="1:11" x14ac:dyDescent="0.25">
      <c r="A70" t="s">
        <v>73</v>
      </c>
      <c r="B70">
        <f>1/IMAGINARY(B68)</f>
        <v>-65.1125244618393</v>
      </c>
    </row>
    <row r="71" spans="1:11" x14ac:dyDescent="0.25">
      <c r="D71" t="s">
        <v>19</v>
      </c>
      <c r="E71" s="1" t="s">
        <v>18</v>
      </c>
    </row>
    <row r="72" spans="1:11" x14ac:dyDescent="0.25">
      <c r="A72" t="s">
        <v>85</v>
      </c>
      <c r="B72" t="str">
        <f>COMPLEX(0,B70,"j")</f>
        <v>-65,1125244618393j</v>
      </c>
      <c r="D72">
        <f>IMABS(B72)</f>
        <v>65.1125244618393</v>
      </c>
      <c r="E72">
        <f>DEGREES(IMARGUMENT(B72))</f>
        <v>-90</v>
      </c>
    </row>
    <row r="73" spans="1:11" x14ac:dyDescent="0.25">
      <c r="A73" t="s">
        <v>81</v>
      </c>
      <c r="B73">
        <f>1/_Y2345</f>
        <v>110.57047909166454</v>
      </c>
      <c r="D73">
        <f>IMABS(B73)</f>
        <v>110.57047909166454</v>
      </c>
      <c r="E73">
        <f>DEGREES(IMARGUMENT(B73))</f>
        <v>0</v>
      </c>
    </row>
    <row r="74" spans="1:11" x14ac:dyDescent="0.25">
      <c r="A74" t="s">
        <v>82</v>
      </c>
      <c r="B74" t="str">
        <f>IMSUM(_Z1,1/_Y2345)</f>
        <v>132,570479091665-17j</v>
      </c>
      <c r="D74">
        <f>IMABS(B74)</f>
        <v>133.65602091411216</v>
      </c>
      <c r="E74">
        <f>DEGREES(IMARGUMENT(B74))</f>
        <v>-7.3073688039239446</v>
      </c>
    </row>
    <row r="75" spans="1:11" x14ac:dyDescent="0.25">
      <c r="A75" t="s">
        <v>25</v>
      </c>
      <c r="I75">
        <v>-1</v>
      </c>
    </row>
    <row r="76" spans="1:11" x14ac:dyDescent="0.25">
      <c r="A76" t="s">
        <v>74</v>
      </c>
      <c r="B76" t="str">
        <f>IMDIV(_E,_Z?)</f>
        <v>-0,266458695630938+2,0779151139961j</v>
      </c>
      <c r="D76">
        <f t="shared" ref="D76:D82" si="9">IMABS(B76)</f>
        <v>2.0949299409409297</v>
      </c>
      <c r="E76">
        <f t="shared" ref="E76:E82" si="10">DEGREES(IMARGUMENT(B76))</f>
        <v>97.307368803923922</v>
      </c>
      <c r="G76">
        <f>D76*D76</f>
        <v>4.388731457450767</v>
      </c>
      <c r="I76" t="str">
        <f>IMPRODUCT(_I1_?,-1)</f>
        <v>0,266458695630938-2,0779151139961j</v>
      </c>
    </row>
    <row r="77" spans="1:11" x14ac:dyDescent="0.25">
      <c r="A77" t="s">
        <v>75</v>
      </c>
      <c r="B77" t="str">
        <f>IMPRODUCT(_I1_?,_Z?2345)</f>
        <v>-29,4624656340528+229,75606966636j</v>
      </c>
      <c r="D77">
        <f t="shared" si="9"/>
        <v>231.63740723331154</v>
      </c>
      <c r="E77">
        <f t="shared" si="10"/>
        <v>97.307368803923893</v>
      </c>
    </row>
    <row r="78" spans="1:11" x14ac:dyDescent="0.25">
      <c r="A78" t="s">
        <v>76</v>
      </c>
      <c r="B78" t="str">
        <f>IMDIV(_E2345_?,_X2)</f>
        <v>-3,52860024342957-0,452485383995823j</v>
      </c>
      <c r="D78">
        <f t="shared" si="9"/>
        <v>3.5574938792162478</v>
      </c>
      <c r="E78">
        <f t="shared" si="10"/>
        <v>-172.69263119607609</v>
      </c>
      <c r="G78">
        <f>D78*D78</f>
        <v>12.655762700661068</v>
      </c>
      <c r="I78" t="str">
        <f>IMPRODUCT(_I2_?,-1)</f>
        <v>3,52860024342957+0,452485383995823j</v>
      </c>
    </row>
    <row r="79" spans="1:11" x14ac:dyDescent="0.25">
      <c r="A79" t="s">
        <v>77</v>
      </c>
      <c r="B79" t="str">
        <f>IMDIV(_E2345_?,_Z345)</f>
        <v>3,26214154779862+2,53040049799193j</v>
      </c>
      <c r="D79">
        <f t="shared" si="9"/>
        <v>4.1284978089023836</v>
      </c>
      <c r="E79">
        <f t="shared" si="10"/>
        <v>37.800264685492337</v>
      </c>
      <c r="G79">
        <f>D79*D79</f>
        <v>17.044494158111782</v>
      </c>
      <c r="I79" t="str">
        <f>IMPRODUCT(_I3_?,-1)</f>
        <v>-3,26214154779862-2,53040049799193j</v>
      </c>
    </row>
    <row r="80" spans="1:11" x14ac:dyDescent="0.25">
      <c r="A80" t="s">
        <v>78</v>
      </c>
      <c r="B80" t="str">
        <f>IMPRODUCT(_I3_?,_Z45)</f>
        <v>57,2415059948164+77,5637216708663j</v>
      </c>
      <c r="D80">
        <f t="shared" si="9"/>
        <v>96.39875999197406</v>
      </c>
      <c r="E80">
        <f t="shared" si="10"/>
        <v>53.572923370046517</v>
      </c>
      <c r="G80">
        <f>D81*D81</f>
        <v>20.157746047701114</v>
      </c>
    </row>
    <row r="81" spans="1:9" x14ac:dyDescent="0.25">
      <c r="A81" t="s">
        <v>79</v>
      </c>
      <c r="B81" t="str">
        <f>IMDIV(_E45_?,_Z4)</f>
        <v>0,676684158769737+4,43845069781914j</v>
      </c>
      <c r="D81">
        <f t="shared" si="9"/>
        <v>4.4897378595750013</v>
      </c>
      <c r="E81">
        <f t="shared" si="10"/>
        <v>81.33146397110653</v>
      </c>
      <c r="I81" t="str">
        <f>IMPRODUCT(_I4_?,-1)</f>
        <v>-0,676684158769737-4,43845069781914j</v>
      </c>
    </row>
    <row r="82" spans="1:9" x14ac:dyDescent="0.25">
      <c r="A82" t="s">
        <v>80</v>
      </c>
      <c r="B82" t="str">
        <f>IMDIV(_E45_?,_Z5)</f>
        <v>2,58545738902888-1,90805019982721j</v>
      </c>
      <c r="D82">
        <f t="shared" si="9"/>
        <v>3.2132919997324687</v>
      </c>
      <c r="E82">
        <f t="shared" si="10"/>
        <v>-36.427076629953412</v>
      </c>
      <c r="G82">
        <f>D82*D82</f>
        <v>10.325245475544687</v>
      </c>
      <c r="I82" t="str">
        <f>IMPRODUCT(_I5_?,-1)</f>
        <v>-2,58545738902888+1,90805019982721j</v>
      </c>
    </row>
    <row r="84" spans="1:9" x14ac:dyDescent="0.25">
      <c r="A84" t="s">
        <v>39</v>
      </c>
    </row>
    <row r="85" spans="1:9" x14ac:dyDescent="0.25">
      <c r="A85" t="s">
        <v>40</v>
      </c>
    </row>
    <row r="86" spans="1:9" x14ac:dyDescent="0.25">
      <c r="A86" t="str">
        <f>IMPRODUCT(_E,IMCONJUGATE(_I1_?))</f>
        <v>581,816231918908-74,6084347766626j</v>
      </c>
    </row>
    <row r="87" spans="1:9" x14ac:dyDescent="0.25">
      <c r="A87" t="s">
        <v>41</v>
      </c>
      <c r="B87">
        <f>IMREAL(A86)</f>
        <v>581.81623191890799</v>
      </c>
    </row>
    <row r="88" spans="1:9" x14ac:dyDescent="0.25">
      <c r="A88" t="s">
        <v>42</v>
      </c>
      <c r="B88">
        <f>IMAGINARY(A86)</f>
        <v>-74.608434776662605</v>
      </c>
    </row>
    <row r="89" spans="1:9" x14ac:dyDescent="0.25">
      <c r="A89" t="s">
        <v>43</v>
      </c>
    </row>
    <row r="90" spans="1:9" x14ac:dyDescent="0.25">
      <c r="A90" t="s">
        <v>41</v>
      </c>
      <c r="B90">
        <f>_R1*_I1_?_2+_R3*_I3_?_2+_R4*_I4_?_2</f>
        <v>581.81623191890867</v>
      </c>
    </row>
    <row r="91" spans="1:9" x14ac:dyDescent="0.25">
      <c r="A91" t="s">
        <v>42</v>
      </c>
      <c r="B91">
        <f>-_X_C1*_I1_?_2+(_X_L1-_X_C2)*_I3_?_2-_X_C3*_I4_?_2+_X_L3*_I5_?_2+IMAGINARY(_X2)*_I2_?_2</f>
        <v>-74.608434776665945</v>
      </c>
    </row>
    <row r="93" spans="1:9" x14ac:dyDescent="0.25">
      <c r="A93" t="s">
        <v>44</v>
      </c>
    </row>
    <row r="94" spans="1:9" x14ac:dyDescent="0.25">
      <c r="A94" s="4" t="s">
        <v>47</v>
      </c>
      <c r="B94">
        <v>0</v>
      </c>
    </row>
    <row r="95" spans="1:9" x14ac:dyDescent="0.25">
      <c r="A95" t="s">
        <v>86</v>
      </c>
      <c r="B95" t="str">
        <f>IMSUM(IMPRODUCT(_I1_?,_C1),_fi?_1_1)</f>
        <v>35,3245569379337+4,52979782572595j</v>
      </c>
      <c r="D95">
        <f>IMABS(B95)</f>
        <v>35.613808995995804</v>
      </c>
      <c r="E95">
        <f>DEGREES(IMARGUMENT(B95))</f>
        <v>7.3073688039239286</v>
      </c>
    </row>
    <row r="97" spans="1:6" x14ac:dyDescent="0.25">
      <c r="A97" t="s">
        <v>49</v>
      </c>
      <c r="B97" t="str">
        <f>IMSUM(IMPRODUCT(_I2_?,_X2),_fi5?)</f>
        <v>5,8620913038809+234,285867492086j</v>
      </c>
      <c r="D97">
        <f t="shared" ref="D97:D101" si="11">IMABS(B97)</f>
        <v>234.35919401844322</v>
      </c>
      <c r="E97">
        <f t="shared" ref="E97:E101" si="12">DEGREES(IMARGUMENT(B97))</f>
        <v>88.566695341079594</v>
      </c>
    </row>
    <row r="98" spans="1:6" x14ac:dyDescent="0.25">
      <c r="A98" t="s">
        <v>50</v>
      </c>
      <c r="B98" t="str">
        <f>IMSUM(IMPRODUCT(_I1_?,_R1),_fi?3)</f>
        <v>2,60236276972137E-13+280j</v>
      </c>
      <c r="D98">
        <f t="shared" si="11"/>
        <v>280</v>
      </c>
      <c r="E98">
        <f t="shared" si="12"/>
        <v>89.999999999999943</v>
      </c>
    </row>
    <row r="99" spans="1:6" x14ac:dyDescent="0.25">
      <c r="A99" t="s">
        <v>51</v>
      </c>
      <c r="B99" t="str">
        <f>IMSUM(IMPRODUCT(I79,_L1),_fi?3)</f>
        <v>145,034118693437+54,868082363162j</v>
      </c>
      <c r="D99">
        <f t="shared" si="11"/>
        <v>155.0657990899112</v>
      </c>
      <c r="E99">
        <f t="shared" si="12"/>
        <v>20.722209388493773</v>
      </c>
    </row>
    <row r="100" spans="1:6" x14ac:dyDescent="0.25">
      <c r="A100" t="s">
        <v>46</v>
      </c>
      <c r="B100" t="str">
        <f>IMSUM(IMPRODUCT(I81,_R4),_fi?2)</f>
        <v>132,177119676812-29,4624808954017j</v>
      </c>
      <c r="D100">
        <f t="shared" si="11"/>
        <v>135.42093171504246</v>
      </c>
      <c r="E100">
        <f t="shared" si="12"/>
        <v>-12.565891697750002</v>
      </c>
    </row>
    <row r="101" spans="1:6" x14ac:dyDescent="0.25">
      <c r="A101" t="s">
        <v>53</v>
      </c>
      <c r="B101" t="str">
        <f>IMSUM(IMPRODUCT(I81,_C3),_fi?6)</f>
        <v>87,7926126986206-22,6956393077043j</v>
      </c>
      <c r="D101">
        <f t="shared" si="11"/>
        <v>90.678745514235104</v>
      </c>
      <c r="E101">
        <f t="shared" si="12"/>
        <v>-14.494449106560879</v>
      </c>
    </row>
    <row r="102" spans="1:6" x14ac:dyDescent="0.25">
      <c r="A102" t="s">
        <v>57</v>
      </c>
      <c r="B102" s="2" t="str">
        <f>IMSUB(_fi?5,_fi?6)</f>
        <v>-96,8525627388783+33,9922787211276j</v>
      </c>
      <c r="C102" s="2" t="s">
        <v>58</v>
      </c>
      <c r="D102" s="8">
        <f>IMABS(B102)</f>
        <v>102.6445026377116</v>
      </c>
    </row>
    <row r="104" spans="1:6" x14ac:dyDescent="0.25">
      <c r="B104" t="s">
        <v>105</v>
      </c>
    </row>
    <row r="105" spans="1:6" x14ac:dyDescent="0.25">
      <c r="A105" t="s">
        <v>106</v>
      </c>
      <c r="B105">
        <v>20</v>
      </c>
      <c r="C105" t="str">
        <f>COMPLEX(0,B105,"j")</f>
        <v>20j</v>
      </c>
      <c r="E105" s="1" t="s">
        <v>128</v>
      </c>
      <c r="F105">
        <f>2*PI()*_f</f>
        <v>376.99111843077515</v>
      </c>
    </row>
    <row r="106" spans="1:6" x14ac:dyDescent="0.25">
      <c r="A106" t="s">
        <v>107</v>
      </c>
      <c r="B106" t="str">
        <f>_Z45</f>
        <v>22,4704336399474+6,34691195795007j</v>
      </c>
    </row>
    <row r="107" spans="1:6" x14ac:dyDescent="0.25">
      <c r="A107" t="s">
        <v>116</v>
      </c>
      <c r="B107">
        <f>IMREAL(_Ze)</f>
        <v>22.470433639947402</v>
      </c>
      <c r="C107" t="s">
        <v>120</v>
      </c>
      <c r="D107">
        <f>IMAGINARY(_Ze)</f>
        <v>6.3469119579500699</v>
      </c>
    </row>
    <row r="108" spans="1:6" x14ac:dyDescent="0.25">
      <c r="A108" t="s">
        <v>108</v>
      </c>
      <c r="B108" t="str">
        <f>IMSUM(_R1,_L2,_R2,_C1)</f>
        <v>43+28j</v>
      </c>
      <c r="D108">
        <f t="shared" ref="D108:D111" si="13">IMABS(B108)</f>
        <v>51.312766442669989</v>
      </c>
      <c r="E108">
        <f t="shared" ref="E108:E111" si="14">DEGREES(IMARGUMENT(B108))</f>
        <v>33.070677822761674</v>
      </c>
    </row>
    <row r="109" spans="1:6" x14ac:dyDescent="0.25">
      <c r="A109" t="s">
        <v>109</v>
      </c>
      <c r="B109" t="str">
        <f>IMSUM(_L1,_Z45,_R3,_R2,_C2,_L2,IMPRODUCT(2,_M))</f>
        <v>49,4704336399474+133,34691195795j</v>
      </c>
      <c r="D109">
        <f t="shared" si="13"/>
        <v>142.22771436413407</v>
      </c>
      <c r="E109">
        <f t="shared" si="14"/>
        <v>69.645626129893898</v>
      </c>
    </row>
    <row r="110" spans="1:6" x14ac:dyDescent="0.25">
      <c r="A110" t="s">
        <v>110</v>
      </c>
      <c r="B110" t="str">
        <f>IMSUM(-1*_R2,IMPRODUCT(-1,_L2),IMPRODUCT(-1,_M))</f>
        <v>-21-65j</v>
      </c>
      <c r="D110">
        <f t="shared" si="13"/>
        <v>68.308125431752259</v>
      </c>
      <c r="E110">
        <f t="shared" si="14"/>
        <v>-107.90444750624819</v>
      </c>
    </row>
    <row r="111" spans="1:6" x14ac:dyDescent="0.25">
      <c r="A111" t="s">
        <v>111</v>
      </c>
      <c r="B111" t="str">
        <f>_E</f>
        <v>280j</v>
      </c>
      <c r="D111">
        <f t="shared" si="13"/>
        <v>280</v>
      </c>
      <c r="E111">
        <f t="shared" si="14"/>
        <v>90</v>
      </c>
    </row>
    <row r="112" spans="1:6" x14ac:dyDescent="0.25">
      <c r="A112" t="s">
        <v>112</v>
      </c>
      <c r="B112">
        <v>0</v>
      </c>
    </row>
    <row r="113" spans="1:10" x14ac:dyDescent="0.25">
      <c r="H113" t="s">
        <v>145</v>
      </c>
      <c r="J113" t="str">
        <f>IMSUB(IMPRODUCT(_Z11,_Z22), IMPRODUCT(_Z12,_Z12))</f>
        <v>2177,51511169514+4389,08935611038j</v>
      </c>
    </row>
    <row r="114" spans="1:10" x14ac:dyDescent="0.25">
      <c r="A114" t="s">
        <v>114</v>
      </c>
      <c r="B114" t="str">
        <f>IMDIV(IMPRODUCT(_E,_Z22),J113)</f>
        <v>-0,854203488184581+8,08301938415791j</v>
      </c>
      <c r="D114">
        <f>IMABS(B114)</f>
        <v>8.1280296483157102</v>
      </c>
      <c r="E114">
        <f>DEGREES(IMARGUMENT(B114))</f>
        <v>96.032556386157168</v>
      </c>
    </row>
    <row r="115" spans="1:10" x14ac:dyDescent="0.25">
      <c r="A115" t="s">
        <v>113</v>
      </c>
      <c r="B115" t="str">
        <f>IMDIV(IMPRODUCT(_E,_Z12,-1),J113)</f>
        <v>-0,575819185060031+3,86097061326305j</v>
      </c>
      <c r="D115">
        <f t="shared" ref="D115" si="15">IMABS(B115)</f>
        <v>3.9036728615963781</v>
      </c>
      <c r="E115">
        <f t="shared" ref="E115" si="16">DEGREES(IMARGUMENT(B115))</f>
        <v>98.482482750015095</v>
      </c>
    </row>
    <row r="116" spans="1:10" x14ac:dyDescent="0.25">
      <c r="G116" t="s">
        <v>115</v>
      </c>
    </row>
    <row r="117" spans="1:10" x14ac:dyDescent="0.25">
      <c r="A117" t="s">
        <v>26</v>
      </c>
      <c r="B117" t="str">
        <f>_Ik1</f>
        <v>-0,854203488184581+8,08301938415791j</v>
      </c>
      <c r="D117">
        <f t="shared" ref="D117:D119" si="17">IMABS(B117)</f>
        <v>8.1280296483157102</v>
      </c>
      <c r="E117">
        <f t="shared" ref="E117:E119" si="18">DEGREES(IMARGUMENT(B117))</f>
        <v>96.032556386157168</v>
      </c>
      <c r="G117">
        <f>D117*D117</f>
        <v>66.064865963899209</v>
      </c>
      <c r="I117" t="str">
        <f>IMSUM(_I2m,_I3m)</f>
        <v>-0,854203488184581+8,08301938415791j</v>
      </c>
    </row>
    <row r="118" spans="1:10" x14ac:dyDescent="0.25">
      <c r="A118" t="s">
        <v>34</v>
      </c>
      <c r="B118" t="str">
        <f>IMSUB(_Ik1,_Ik2)</f>
        <v>-0,27838430312455+4,22204877089486j</v>
      </c>
      <c r="D118">
        <f t="shared" si="17"/>
        <v>4.2312165678491258</v>
      </c>
      <c r="E118">
        <f t="shared" si="18"/>
        <v>93.772384422615559</v>
      </c>
      <c r="G118">
        <f>D118*D118</f>
        <v>17.903193644040936</v>
      </c>
    </row>
    <row r="119" spans="1:10" x14ac:dyDescent="0.25">
      <c r="A119" t="s">
        <v>35</v>
      </c>
      <c r="B119" t="str">
        <f>_Ik2</f>
        <v>-0,575819185060031+3,86097061326305j</v>
      </c>
      <c r="D119">
        <f t="shared" si="17"/>
        <v>3.9036728615963781</v>
      </c>
      <c r="E119">
        <f t="shared" si="18"/>
        <v>98.482482750015095</v>
      </c>
      <c r="G119">
        <f>D119*D119</f>
        <v>15.238661810364055</v>
      </c>
      <c r="I119" t="str">
        <f>IMSUM(_I4m,_I5m)</f>
        <v>-0,57581918506003+3,86097061326304j</v>
      </c>
    </row>
    <row r="120" spans="1:10" x14ac:dyDescent="0.25">
      <c r="A120" t="s">
        <v>129</v>
      </c>
      <c r="B120" t="str">
        <f>IMPRODUCT(_Z45,_I3m)</f>
        <v>-37,4441473411131+83,1030102798398j</v>
      </c>
      <c r="D120">
        <f t="shared" ref="D120" si="19">IMABS(B120)</f>
        <v>91.149188080169665</v>
      </c>
      <c r="E120">
        <f t="shared" ref="E120" si="20">DEGREES(IMARGUMENT(B120))</f>
        <v>114.2551414345693</v>
      </c>
    </row>
    <row r="121" spans="1:10" x14ac:dyDescent="0.25">
      <c r="A121" t="s">
        <v>37</v>
      </c>
      <c r="B121" t="str">
        <f>IMDIV(_Um45,_Z4)</f>
        <v>-3,34591952772136+2,61283236855927j</v>
      </c>
      <c r="D121">
        <f t="shared" ref="D121:D122" si="21">IMABS(B121)</f>
        <v>4.2452409203928783</v>
      </c>
      <c r="E121">
        <f t="shared" ref="E121:E122" si="22">DEGREES(IMARGUMENT(B121))</f>
        <v>142.01368203562936</v>
      </c>
    </row>
    <row r="122" spans="1:10" x14ac:dyDescent="0.25">
      <c r="A122" t="s">
        <v>38</v>
      </c>
      <c r="B122" t="str">
        <f>IMDIV(_Um45,_Z5)</f>
        <v>2,77010034266133+1,24813824470377j</v>
      </c>
      <c r="D122">
        <f t="shared" si="21"/>
        <v>3.0383062693389924</v>
      </c>
      <c r="E122">
        <f t="shared" si="22"/>
        <v>24.255141434569275</v>
      </c>
    </row>
    <row r="123" spans="1:10" x14ac:dyDescent="0.25">
      <c r="A123" t="s">
        <v>39</v>
      </c>
    </row>
    <row r="124" spans="1:10" x14ac:dyDescent="0.25">
      <c r="A124" t="s">
        <v>40</v>
      </c>
    </row>
    <row r="125" spans="1:10" x14ac:dyDescent="0.25">
      <c r="A125" t="str">
        <f>IMPRODUCT(_E,IMCONJUGATE(_I1m))</f>
        <v>2263,24542756421-239,176976691683j</v>
      </c>
    </row>
    <row r="126" spans="1:10" x14ac:dyDescent="0.25">
      <c r="A126" t="s">
        <v>41</v>
      </c>
      <c r="B126">
        <f>IMREAL(A125)</f>
        <v>2263.2454275642099</v>
      </c>
    </row>
    <row r="127" spans="1:10" x14ac:dyDescent="0.25">
      <c r="A127" t="s">
        <v>42</v>
      </c>
      <c r="B127">
        <f>IMAGINARY(A125)</f>
        <v>-239.176976691683</v>
      </c>
    </row>
    <row r="128" spans="1:10" x14ac:dyDescent="0.25">
      <c r="A128" t="s">
        <v>43</v>
      </c>
    </row>
    <row r="129" spans="1:2" x14ac:dyDescent="0.25">
      <c r="A129" t="s">
        <v>41</v>
      </c>
      <c r="B129">
        <f>_R1*_I1m_2+_R2*_I2m_2+(_R3+_Re)*_I3m_2</f>
        <v>2263.2454275642131</v>
      </c>
    </row>
    <row r="130" spans="1:2" x14ac:dyDescent="0.25">
      <c r="A130" t="s">
        <v>122</v>
      </c>
    </row>
    <row r="131" spans="1:2" x14ac:dyDescent="0.25">
      <c r="A131" t="s">
        <v>121</v>
      </c>
      <c r="B131" t="str">
        <f>IMPRODUCT(IMPRODUCT(_M,-1),_I2m,IMCONJUGATE(_I3m))</f>
        <v>-27,1260613796557-329,230105094942j</v>
      </c>
    </row>
    <row r="132" spans="1:2" x14ac:dyDescent="0.25">
      <c r="A132" t="s">
        <v>124</v>
      </c>
      <c r="B132">
        <f>IMREAL(B131)</f>
        <v>-27.126061379655699</v>
      </c>
    </row>
    <row r="133" spans="1:2" x14ac:dyDescent="0.25">
      <c r="A133" t="s">
        <v>125</v>
      </c>
      <c r="B133">
        <f>IMAGINARY(B131)</f>
        <v>-329.23010509494202</v>
      </c>
    </row>
    <row r="135" spans="1:2" x14ac:dyDescent="0.25">
      <c r="A135" t="s">
        <v>123</v>
      </c>
      <c r="B135" t="str">
        <f>IMPRODUCT(IMPRODUCT(_M,-1),_I3m,IMCONJUGATE(_I2m))</f>
        <v>27,1260613796557-329,230105094942j</v>
      </c>
    </row>
    <row r="136" spans="1:2" x14ac:dyDescent="0.25">
      <c r="A136" t="s">
        <v>124</v>
      </c>
      <c r="B136">
        <f>IMREAL(B135)</f>
        <v>27.126061379655699</v>
      </c>
    </row>
    <row r="137" spans="1:2" x14ac:dyDescent="0.25">
      <c r="A137" t="s">
        <v>125</v>
      </c>
      <c r="B137">
        <f>IMAGINARY(B135)</f>
        <v>-329.23010509494202</v>
      </c>
    </row>
    <row r="139" spans="1:2" x14ac:dyDescent="0.25">
      <c r="A139" t="s">
        <v>126</v>
      </c>
      <c r="B139">
        <f>B136+B132</f>
        <v>0</v>
      </c>
    </row>
    <row r="140" spans="1:2" x14ac:dyDescent="0.25">
      <c r="A140" t="s">
        <v>119</v>
      </c>
      <c r="B140">
        <f>B133+B137</f>
        <v>-658.46021018988404</v>
      </c>
    </row>
    <row r="142" spans="1:2" x14ac:dyDescent="0.25">
      <c r="A142" t="s">
        <v>42</v>
      </c>
    </row>
    <row r="143" spans="1:2" x14ac:dyDescent="0.25">
      <c r="A143" t="s">
        <v>118</v>
      </c>
      <c r="B143">
        <f>-_X_C1*_I1m_2+_X_L2*_I2m_2+(_X_L1+_Xe-_X_C2)*_I3m_2</f>
        <v>419.28323349820266</v>
      </c>
    </row>
    <row r="144" spans="1:2" x14ac:dyDescent="0.25">
      <c r="A144" t="s">
        <v>117</v>
      </c>
      <c r="B144">
        <f>B143+B140</f>
        <v>-239.17697669168138</v>
      </c>
    </row>
    <row r="146" spans="1:16" x14ac:dyDescent="0.25">
      <c r="A146" t="s">
        <v>44</v>
      </c>
      <c r="I146" t="s">
        <v>54</v>
      </c>
    </row>
    <row r="147" spans="1:16" x14ac:dyDescent="0.25">
      <c r="A147" s="4" t="s">
        <v>127</v>
      </c>
      <c r="B147">
        <v>0</v>
      </c>
      <c r="G147" s="5" t="s">
        <v>27</v>
      </c>
      <c r="H147" s="5" t="s">
        <v>26</v>
      </c>
      <c r="I147" s="5" t="s">
        <v>34</v>
      </c>
      <c r="J147" s="5" t="s">
        <v>35</v>
      </c>
      <c r="K147" s="5" t="s">
        <v>37</v>
      </c>
      <c r="L147" s="5" t="s">
        <v>38</v>
      </c>
    </row>
    <row r="148" spans="1:16" x14ac:dyDescent="0.25">
      <c r="A148" t="s">
        <v>46</v>
      </c>
      <c r="B148" t="str">
        <f>IMSUM(IMPRODUCT(_I1m,_C1),_f8m)</f>
        <v>137,411329530684+14,5214592991379j</v>
      </c>
      <c r="D148">
        <f>IMABS(B148)</f>
        <v>138.17650402136661</v>
      </c>
      <c r="E148">
        <f>DEGREES(IMARGUMENT(B148))</f>
        <v>6.0325563861572125</v>
      </c>
      <c r="G148" s="5">
        <v>1</v>
      </c>
      <c r="H148" s="7">
        <f>IMREAL(_I1m)</f>
        <v>-0.85420348818458103</v>
      </c>
      <c r="I148" s="7">
        <f>IMREAL(_I2m)</f>
        <v>-0.27838430312454998</v>
      </c>
      <c r="J148" s="7">
        <f>IMREAL(_I3m)</f>
        <v>-0.57581918506003105</v>
      </c>
      <c r="K148" s="7">
        <f>IMREAL(_I4m)</f>
        <v>-3.3459195277213598</v>
      </c>
      <c r="L148" s="7">
        <f>IMREAL(_I5m)</f>
        <v>2.7701003426613302</v>
      </c>
    </row>
    <row r="149" spans="1:16" x14ac:dyDescent="0.25">
      <c r="A149" t="s">
        <v>52</v>
      </c>
      <c r="B149" t="str">
        <f>IMSUM(IMPRODUCT(_I2m,_R2,),_f6m)</f>
        <v>131,565259165068+103,18448348793j</v>
      </c>
      <c r="D149">
        <f t="shared" ref="D149" si="23">IMABS(B149)</f>
        <v>167.2018392597474</v>
      </c>
      <c r="E149">
        <f t="shared" ref="E149" si="24">DEGREES(IMARGUMENT(B149))</f>
        <v>38.106510453513387</v>
      </c>
      <c r="G149" s="5" t="s">
        <v>104</v>
      </c>
      <c r="H149" s="7">
        <f>IMAGINARY(_I1m)</f>
        <v>8.0830193841579092</v>
      </c>
      <c r="I149" s="7">
        <f>IMAGINARY(_I2m)</f>
        <v>4.22204877089486</v>
      </c>
      <c r="J149" s="7">
        <f>IMAGINARY(_I3m)</f>
        <v>3.8609706132630501</v>
      </c>
      <c r="K149" s="7">
        <f>IMAGINARY(_I4m)</f>
        <v>2.6128323685592698</v>
      </c>
      <c r="L149" s="7">
        <f>IMAGINARY(_I5m)</f>
        <v>1.2481382447037701</v>
      </c>
    </row>
    <row r="150" spans="1:16" x14ac:dyDescent="0.25">
      <c r="A150" t="s">
        <v>51</v>
      </c>
      <c r="B150" t="str">
        <f>IMSUM(IMPRODUCT(_I2m,_L2),IMPRODUCT(_I3m,_M,-1),_f7m)</f>
        <v>18,79247674006+102,173573548526j</v>
      </c>
      <c r="D150">
        <f t="shared" ref="D150:D154" si="25">IMABS(B150)</f>
        <v>103.88742134494314</v>
      </c>
      <c r="E150">
        <f t="shared" ref="E150:E156" si="26">DEGREES(IMARGUMENT(B150))</f>
        <v>79.578238300967072</v>
      </c>
    </row>
    <row r="151" spans="1:16" x14ac:dyDescent="0.25">
      <c r="A151" t="s">
        <v>50</v>
      </c>
      <c r="B151" t="str">
        <f>IMSUM(IMPRODUCT(_I1m,_R1),_f2m)</f>
        <v>-7,99360577730113E-13+280j</v>
      </c>
      <c r="D151">
        <f t="shared" si="25"/>
        <v>280</v>
      </c>
      <c r="E151">
        <f t="shared" si="26"/>
        <v>90.000000000000171</v>
      </c>
    </row>
    <row r="152" spans="1:16" x14ac:dyDescent="0.25">
      <c r="A152" t="s">
        <v>86</v>
      </c>
      <c r="B152" t="str">
        <f>IMSUM(IMPRODUCT(_I3m,IMSUM(_R3,_C2)),_f6m)</f>
        <v>184,149032392743+45,1729323844966j</v>
      </c>
      <c r="D152">
        <f t="shared" si="25"/>
        <v>189.6087022037697</v>
      </c>
      <c r="E152">
        <f t="shared" si="26"/>
        <v>13.78285972540805</v>
      </c>
      <c r="G152" s="5" t="s">
        <v>45</v>
      </c>
      <c r="H152" s="5" t="s">
        <v>50</v>
      </c>
      <c r="I152" s="5" t="s">
        <v>51</v>
      </c>
      <c r="J152" s="5" t="s">
        <v>49</v>
      </c>
      <c r="K152" s="5" t="s">
        <v>48</v>
      </c>
      <c r="L152" s="5" t="s">
        <v>86</v>
      </c>
      <c r="M152" s="5" t="s">
        <v>46</v>
      </c>
      <c r="N152" s="5" t="s">
        <v>52</v>
      </c>
      <c r="O152" s="5" t="s">
        <v>127</v>
      </c>
      <c r="P152" s="5" t="s">
        <v>147</v>
      </c>
    </row>
    <row r="153" spans="1:16" x14ac:dyDescent="0.25">
      <c r="A153" t="s">
        <v>48</v>
      </c>
      <c r="B153" t="str">
        <f>IMSUM(IMPRODUCT(_I4m,_C3),_f5m)</f>
        <v>210,277356078336+78,6321276617102j</v>
      </c>
      <c r="D153">
        <f t="shared" si="25"/>
        <v>224.49850329100815</v>
      </c>
      <c r="E153">
        <f t="shared" si="26"/>
        <v>20.503023030161689</v>
      </c>
      <c r="G153" s="5">
        <v>1</v>
      </c>
      <c r="H153" s="6">
        <f>IMREAL(_f1m)</f>
        <v>-7.9936057773011301E-13</v>
      </c>
      <c r="I153" s="6">
        <f>IMREAL(_f2m)</f>
        <v>18.79247674006</v>
      </c>
      <c r="J153" s="6">
        <f>IMREAL(_f3m)</f>
        <v>146.70488505162999</v>
      </c>
      <c r="K153" s="6">
        <f>IMREAL(_f4m)</f>
        <v>210.277356078336</v>
      </c>
      <c r="L153" s="6">
        <f>IMREAL(_f5m)</f>
        <v>184.14903239274301</v>
      </c>
      <c r="M153" s="6">
        <f>IMREAL(_f6m)</f>
        <v>137.41132953068399</v>
      </c>
      <c r="N153" s="6">
        <f>IMREAL(_f7m)</f>
        <v>131.565259165068</v>
      </c>
      <c r="O153" s="6">
        <f>IMREAL(_f8m)</f>
        <v>0</v>
      </c>
      <c r="P153" s="6">
        <f>IMREAL(B157)</f>
        <v>187.603947503104</v>
      </c>
    </row>
    <row r="154" spans="1:16" x14ac:dyDescent="0.25">
      <c r="A154" t="s">
        <v>49</v>
      </c>
      <c r="B154" t="str">
        <f>IMSUM(IMPRODUCT(_I4m,_R4),_f4m)</f>
        <v>146,70488505163+128,275942664336j</v>
      </c>
      <c r="D154">
        <f t="shared" si="25"/>
        <v>194.87698880174636</v>
      </c>
      <c r="E154">
        <f t="shared" si="26"/>
        <v>41.165827271509627</v>
      </c>
      <c r="G154" s="5" t="s">
        <v>104</v>
      </c>
      <c r="H154" s="6">
        <f>IMAGINARY(_f1m)</f>
        <v>280</v>
      </c>
      <c r="I154" s="6">
        <f>IMAGINARY(_f2m)</f>
        <v>102.17357354852599</v>
      </c>
      <c r="J154" s="6">
        <f>IMAGINARY(_f3m)</f>
        <v>128.27594266433599</v>
      </c>
      <c r="K154" s="6">
        <f>IMAGINARY(_f4m)</f>
        <v>78.6321276617102</v>
      </c>
      <c r="L154" s="6">
        <f>IMAGINARY(_f5m)</f>
        <v>45.172932384496598</v>
      </c>
      <c r="M154" s="6">
        <f>IMAGINARY(_f6m)</f>
        <v>14.5214592991379</v>
      </c>
      <c r="N154" s="6">
        <f>IMAGINARY(_f7m)</f>
        <v>103.18448348793</v>
      </c>
      <c r="O154" s="6">
        <f>IMAGINARY(_fi1_1)</f>
        <v>0</v>
      </c>
      <c r="P154" s="6">
        <f>IMAGINARY(B157)</f>
        <v>22.007108704918299</v>
      </c>
    </row>
    <row r="155" spans="1:16" x14ac:dyDescent="0.25">
      <c r="A155" t="s">
        <v>51</v>
      </c>
      <c r="B155" t="str">
        <f>IMSUM(IMPRODUCT(_I3m,_L1),IMPRODUCT(_I2m,_M,-1),_f3m)</f>
        <v>18,7924767400592+102,173573548525j</v>
      </c>
      <c r="D155">
        <f t="shared" ref="D155" si="27">IMABS(B155)</f>
        <v>103.88742134494201</v>
      </c>
      <c r="E155">
        <f t="shared" ref="E155" si="28">DEGREES(IMARGUMENT(B155))</f>
        <v>79.578238300967413</v>
      </c>
    </row>
    <row r="156" spans="1:16" x14ac:dyDescent="0.25">
      <c r="A156" t="s">
        <v>57</v>
      </c>
      <c r="B156" s="2" t="str">
        <f>IMSUB(_f7m,_f4m)</f>
        <v>-78,712096913268+24,5523558262198j</v>
      </c>
      <c r="C156" s="2" t="s">
        <v>58</v>
      </c>
      <c r="D156" s="8">
        <f>IMABS(B156)</f>
        <v>82.452485572607245</v>
      </c>
      <c r="E156">
        <f t="shared" si="26"/>
        <v>162.67593790772725</v>
      </c>
      <c r="H156" s="16">
        <f>-7.99360577730113E-13/20</f>
        <v>-3.9968028886505648E-14</v>
      </c>
      <c r="I156" s="16">
        <f>18.79247674006/20</f>
        <v>0.93962383700300001</v>
      </c>
      <c r="J156" s="16">
        <f>146.70488505163/20</f>
        <v>7.3352442525814991</v>
      </c>
      <c r="K156" s="16">
        <f>210.277356078336/20</f>
        <v>10.513867803916799</v>
      </c>
      <c r="L156" s="16">
        <f>184.149032392743/20</f>
        <v>9.2074516196371512</v>
      </c>
      <c r="M156" s="16">
        <f>137.411329530684/20</f>
        <v>6.8705664765341989</v>
      </c>
      <c r="N156" s="16">
        <f>131.565259165068/20</f>
        <v>6.5782629582533998</v>
      </c>
      <c r="O156" s="16">
        <v>0</v>
      </c>
      <c r="P156" s="16">
        <f>187.603947503104/20</f>
        <v>9.3801973751552001</v>
      </c>
    </row>
    <row r="157" spans="1:16" x14ac:dyDescent="0.25">
      <c r="A157" t="s">
        <v>147</v>
      </c>
      <c r="B157" t="str">
        <f>IMSUM(IMPRODUCT(_I3m,_C2),_f6m)</f>
        <v>187,603947503104+22,0071087049183j</v>
      </c>
      <c r="D157">
        <f t="shared" ref="D157" si="29">IMABS(B157)</f>
        <v>188.89032254802649</v>
      </c>
      <c r="E157">
        <f t="shared" ref="E157" si="30">DEGREES(IMARGUMENT(B157))</f>
        <v>6.6905736512541267</v>
      </c>
      <c r="H157" s="16">
        <v>14</v>
      </c>
      <c r="I157" s="16">
        <f>102.173573548526/20</f>
        <v>5.1086786774262993</v>
      </c>
      <c r="J157" s="16">
        <f>128.275942664336/20</f>
        <v>6.4137971332167991</v>
      </c>
      <c r="K157" s="16">
        <f>78.6321276617102/20</f>
        <v>3.9316063830855099</v>
      </c>
      <c r="L157" s="16">
        <f>45.1729323844966/20</f>
        <v>2.2586466192248298</v>
      </c>
      <c r="M157" s="16">
        <f>14.5214592991379/20</f>
        <v>0.726072964956895</v>
      </c>
      <c r="N157" s="16">
        <f>103.18448348793/20</f>
        <v>5.1592241743964999</v>
      </c>
      <c r="O157" s="16">
        <v>0</v>
      </c>
      <c r="P157" s="16">
        <f>22.0071087049183/20</f>
        <v>1.1003554352459148</v>
      </c>
    </row>
    <row r="159" spans="1:16" x14ac:dyDescent="0.25">
      <c r="A159" t="s">
        <v>146</v>
      </c>
    </row>
    <row r="160" spans="1:16" x14ac:dyDescent="0.25">
      <c r="A160" t="s">
        <v>28</v>
      </c>
      <c r="B160" t="str">
        <f>IMSUM(IMSUB(_R1,_M),_C1)</f>
        <v>22-37j</v>
      </c>
      <c r="D160">
        <f t="shared" ref="D160:D162" si="31">IMABS(B160)</f>
        <v>43.046486500061775</v>
      </c>
      <c r="E160">
        <f t="shared" ref="E160:E162" si="32">DEGREES(IMARGUMENT(B160))</f>
        <v>-59.2645122980799</v>
      </c>
      <c r="G160" t="s">
        <v>148</v>
      </c>
      <c r="H160" t="str">
        <f>IMDIV(IMPRODUCT(IMSUM(_Z3p,_Z4p),_Z2p),IMSUM(_Z2p,_Z3p,_Z4p))</f>
        <v>11,8037962670041+29,0425181904461j</v>
      </c>
    </row>
    <row r="161" spans="1:13" x14ac:dyDescent="0.25">
      <c r="A161" t="s">
        <v>29</v>
      </c>
      <c r="B161" t="str">
        <f>IMSUM(_L2,_R2,_M)</f>
        <v>21+65j</v>
      </c>
      <c r="D161">
        <f t="shared" si="31"/>
        <v>68.308125431752259</v>
      </c>
      <c r="E161">
        <f t="shared" si="32"/>
        <v>72.095552493751796</v>
      </c>
      <c r="G161" t="s">
        <v>149</v>
      </c>
      <c r="H161" t="str">
        <f>IMSUM(_Z3p,_Z4p)</f>
        <v>25+52j</v>
      </c>
      <c r="L161" t="s">
        <v>153</v>
      </c>
      <c r="M161" t="str">
        <f>IMSUM(_Z1p,_Z2p)</f>
        <v>43+28j</v>
      </c>
    </row>
    <row r="162" spans="1:13" x14ac:dyDescent="0.25">
      <c r="A162" t="s">
        <v>30</v>
      </c>
      <c r="B162" t="str">
        <f>IMSUM(_L1,_R3,_M,_C2)</f>
        <v>6+62j</v>
      </c>
      <c r="D162">
        <f t="shared" si="31"/>
        <v>62.289646009589752</v>
      </c>
      <c r="E162">
        <f t="shared" si="32"/>
        <v>84.472459848343831</v>
      </c>
      <c r="G162" t="s">
        <v>150</v>
      </c>
      <c r="H162" t="str">
        <f>IMSUM(_Z1p,_Z234p)</f>
        <v>33,8037962670041-7,9574818095539j</v>
      </c>
    </row>
    <row r="163" spans="1:13" x14ac:dyDescent="0.25">
      <c r="A163" t="s">
        <v>31</v>
      </c>
      <c r="B163" t="str">
        <f>IMSUM(_R4,_C3)</f>
        <v>19-10j</v>
      </c>
      <c r="D163">
        <f t="shared" ref="D163" si="33">IMABS(B163)</f>
        <v>21.470910553583888</v>
      </c>
      <c r="E163">
        <f t="shared" ref="E163" si="34">DEGREES(IMARGUMENT(B163))</f>
        <v>-27.758540601060023</v>
      </c>
      <c r="G163" t="s">
        <v>151</v>
      </c>
      <c r="H163" t="str">
        <f>IMDIV(IMPRODUCT(IMSUM(_Z3p,_Z2p),_Z4p),IMSUM(_Z2p,_Z3p,_Z4p))</f>
        <v>21,0534008225245-6,9619107877254j</v>
      </c>
    </row>
    <row r="164" spans="1:13" x14ac:dyDescent="0.25">
      <c r="A164" t="s">
        <v>130</v>
      </c>
      <c r="B164" t="str">
        <f>IMPOWER(IMDIV(H162,IMSUB(H163,H164)),0.5)</f>
        <v>4,52053530508061+1,63229800858152j</v>
      </c>
      <c r="D164">
        <f>IMABS(B164)</f>
        <v>4.8062080930083999</v>
      </c>
      <c r="E164">
        <f>DEGREES(IMARGUMENT(B164))</f>
        <v>19.853896691980324</v>
      </c>
      <c r="G164" t="s">
        <v>152</v>
      </c>
      <c r="H164" t="str">
        <f>IMDIV(IMPRODUCT(IMSUM(_Z3p,M161),_Z4p),IMSUM(M161,_Z3p,_Z4p))</f>
        <v>20,1476777939042-5,76197387518142j</v>
      </c>
    </row>
    <row r="165" spans="1:13" x14ac:dyDescent="0.25">
      <c r="A165" t="s">
        <v>131</v>
      </c>
      <c r="B165" t="str">
        <f>IMPRODUCT(_A21,H163)</f>
        <v>2,9670466601469+0,784056333395557j</v>
      </c>
      <c r="D165">
        <f>IMABS(B165)</f>
        <v>3.0688939729854727</v>
      </c>
      <c r="E165">
        <f>DEGREES(IMARGUMENT(B165))</f>
        <v>14.802324735278653</v>
      </c>
    </row>
    <row r="166" spans="1:13" x14ac:dyDescent="0.25">
      <c r="A166" t="s">
        <v>132</v>
      </c>
      <c r="B166" t="str">
        <f>IMPRODUCT(_A11,H164)</f>
        <v>100,48354726469+6,83980801082219j</v>
      </c>
      <c r="D166">
        <f>IMABS(B166)</f>
        <v>100.71606745956724</v>
      </c>
      <c r="E166">
        <f>DEGREES(IMARGUMENT(B166))</f>
        <v>3.8940558702710866</v>
      </c>
    </row>
    <row r="167" spans="1:13" x14ac:dyDescent="0.25">
      <c r="A167" t="s">
        <v>133</v>
      </c>
      <c r="B167" t="str">
        <f>IMDIV(_A11,H162)</f>
        <v>0,115937120629753+0,0755792490543034j</v>
      </c>
      <c r="D167">
        <f>IMABS(B167)</f>
        <v>0.13839667202476483</v>
      </c>
      <c r="E167">
        <f>DEGREES(IMARGUMENT(B167))</f>
        <v>33.100274310402568</v>
      </c>
    </row>
    <row r="168" spans="1:13" x14ac:dyDescent="0.25">
      <c r="A168" t="s">
        <v>134</v>
      </c>
    </row>
    <row r="169" spans="1:13" x14ac:dyDescent="0.25">
      <c r="A169" t="s">
        <v>135</v>
      </c>
      <c r="B169" t="str">
        <f>IMSUB(IMPRODUCT(_A11,_A22),IMPRODUCT(_A12,_A21))</f>
        <v>1-8,88178419700125E-15j</v>
      </c>
      <c r="D169" s="15">
        <f>IMABS(B169)</f>
        <v>1</v>
      </c>
      <c r="E169">
        <f t="shared" ref="E169" si="35">DEGREES(IMARGUMENT(B169))</f>
        <v>-5.0888874903416258E-13</v>
      </c>
    </row>
    <row r="171" spans="1:13" x14ac:dyDescent="0.25">
      <c r="A171" t="s">
        <v>136</v>
      </c>
    </row>
    <row r="172" spans="1:13" x14ac:dyDescent="0.25">
      <c r="A172" t="s">
        <v>137</v>
      </c>
      <c r="B172" t="str">
        <f>IMDIV(IMSUB(_A11,1),_A21)</f>
        <v>27,7507887067325-4,01153452847275j</v>
      </c>
      <c r="D172">
        <f t="shared" ref="D172:D174" si="36">IMABS(B172)</f>
        <v>28.039234709935311</v>
      </c>
      <c r="E172">
        <f t="shared" ref="E172:E174" si="37">DEGREES(IMARGUMENT(B172))</f>
        <v>-8.2254530235578436</v>
      </c>
    </row>
    <row r="173" spans="1:13" x14ac:dyDescent="0.25">
      <c r="A173" t="s">
        <v>138</v>
      </c>
      <c r="B173" t="str">
        <f>IMDIV(1,_A21)</f>
        <v>6,05300756027162-3,94594728108114j</v>
      </c>
      <c r="D173">
        <f t="shared" si="36"/>
        <v>7.2256072734253296</v>
      </c>
      <c r="E173">
        <f t="shared" si="37"/>
        <v>-33.100274310402561</v>
      </c>
    </row>
    <row r="174" spans="1:13" x14ac:dyDescent="0.25">
      <c r="A174" t="s">
        <v>139</v>
      </c>
      <c r="B174" t="str">
        <f>IMDIV(IMSUB(_A22,1),_A21)</f>
        <v>15,0003932622529-3,01596350664425j</v>
      </c>
      <c r="D174">
        <f t="shared" si="36"/>
        <v>15.300582795947742</v>
      </c>
      <c r="E174">
        <f t="shared" si="37"/>
        <v>-11.368261039722235</v>
      </c>
    </row>
    <row r="176" spans="1:13" x14ac:dyDescent="0.25">
      <c r="A176" t="s">
        <v>140</v>
      </c>
    </row>
    <row r="177" spans="1:5" x14ac:dyDescent="0.25">
      <c r="A177" t="s">
        <v>141</v>
      </c>
      <c r="B177" t="str">
        <f>IMPOWER(IMDIV(IMPRODUCT(_A11,_A12),IMPRODUCT(_A21,_A22)),0.5)</f>
        <v>33,0123393500041-7,06356723316961j</v>
      </c>
      <c r="D177">
        <f t="shared" ref="D177:D181" si="38">IMABS(B177)</f>
        <v>33.759569479146748</v>
      </c>
      <c r="E177">
        <f t="shared" ref="E177:E181" si="39">DEGREES(IMARGUMENT(B177))</f>
        <v>-12.077323241714861</v>
      </c>
    </row>
    <row r="178" spans="1:5" x14ac:dyDescent="0.25">
      <c r="A178" t="s">
        <v>142</v>
      </c>
      <c r="B178" t="str">
        <f>IMPOWER(IMDIV(IMPRODUCT(_A22,_A12),IMPRODUCT(_A21,_A11)),0.5)</f>
        <v>20,6002563792643-6,34884042432116j</v>
      </c>
      <c r="D178">
        <f t="shared" si="38"/>
        <v>21.556398994844063</v>
      </c>
      <c r="E178">
        <f t="shared" si="39"/>
        <v>-17.128895198416533</v>
      </c>
    </row>
    <row r="179" spans="1:5" x14ac:dyDescent="0.25">
      <c r="A179" t="s">
        <v>143</v>
      </c>
      <c r="B179" t="str">
        <f>IMLN(IMSUM(IMPOWER(IMPRODUCT(_A11,_A22),0.5),IMPOWER(IMPRODUCT(_A12,_A21),0.5)))</f>
        <v>2,02467001840995+0,31249027993272j</v>
      </c>
      <c r="D179">
        <f t="shared" si="38"/>
        <v>2.0486431750064669</v>
      </c>
      <c r="E179">
        <f t="shared" si="39"/>
        <v>8.7738761686962921</v>
      </c>
    </row>
    <row r="181" spans="1:5" x14ac:dyDescent="0.25">
      <c r="A181" t="s">
        <v>144</v>
      </c>
      <c r="B181" t="str">
        <f>IMPRODUCT(_E,IMPOWER(IMDIV(_ZC2p,_ZC1p),0.5),IMEXP(IMPRODUCT(-1,_y)))</f>
        <v>10,3122028636995+27,6840647060609j</v>
      </c>
      <c r="D181">
        <f t="shared" si="38"/>
        <v>29.542325002468225</v>
      </c>
      <c r="E181">
        <f t="shared" si="39"/>
        <v>69.569839842642665</v>
      </c>
    </row>
    <row r="182" spans="1:5" x14ac:dyDescent="0.25">
      <c r="A182" t="s">
        <v>35</v>
      </c>
      <c r="B182" t="str">
        <f>IMDIV(_U2p,IMSUM(0,_ZC2p))</f>
        <v>0,0789197833048822+1,36819238060338j</v>
      </c>
      <c r="D182">
        <f t="shared" ref="D182" si="40">IMABS(B182)</f>
        <v>1.3704666075968557</v>
      </c>
      <c r="E182">
        <f t="shared" ref="E182" si="41">DEGREES(IMARGUMENT(B182))</f>
        <v>86.698735041059209</v>
      </c>
    </row>
    <row r="184" spans="1:5" x14ac:dyDescent="0.25">
      <c r="A184" t="s">
        <v>134</v>
      </c>
    </row>
    <row r="185" spans="1:5" x14ac:dyDescent="0.25">
      <c r="A185" t="s">
        <v>26</v>
      </c>
      <c r="B185" t="str">
        <f>IMDIV(_E,_ZC1p)</f>
        <v>-1,73535493572897+8,11036748712061j</v>
      </c>
      <c r="D185">
        <f t="shared" ref="D185:D186" si="42">IMABS(B185)</f>
        <v>8.2939446302167941</v>
      </c>
      <c r="E185">
        <f t="shared" ref="E185:E186" si="43">DEGREES(IMARGUMENT(B185))</f>
        <v>102.07732324171486</v>
      </c>
    </row>
    <row r="186" spans="1:5" x14ac:dyDescent="0.25">
      <c r="A186" t="s">
        <v>35</v>
      </c>
      <c r="B186" t="str">
        <f>IMPRODUCT(_I1p,IMPOWER(IMDIV(_ZC1p,_ZC2p),0.5),IMEXP(IMPRODUCT(-1,_y)))</f>
        <v>0,0789197833048816+1,36819238060338j</v>
      </c>
      <c r="D186">
        <f t="shared" si="42"/>
        <v>1.3704666075968557</v>
      </c>
      <c r="E186">
        <f t="shared" si="43"/>
        <v>86.698735041059237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13" sqref="H13"/>
    </sheetView>
  </sheetViews>
  <sheetFormatPr defaultRowHeight="15" x14ac:dyDescent="0.25"/>
  <cols>
    <col min="1" max="1" width="16" customWidth="1"/>
    <col min="2" max="2" width="28" customWidth="1"/>
    <col min="3" max="3" width="9.140625" customWidth="1"/>
  </cols>
  <sheetData>
    <row r="1" spans="1:11" x14ac:dyDescent="0.25">
      <c r="C1" t="s">
        <v>65</v>
      </c>
      <c r="H1" t="s">
        <v>19</v>
      </c>
      <c r="I1" s="1" t="s">
        <v>18</v>
      </c>
    </row>
    <row r="2" spans="1:11" x14ac:dyDescent="0.25">
      <c r="C2" t="s">
        <v>19</v>
      </c>
      <c r="D2" s="1" t="s">
        <v>18</v>
      </c>
      <c r="G2" t="s">
        <v>1</v>
      </c>
      <c r="H2" s="12">
        <v>100</v>
      </c>
      <c r="I2" s="13">
        <v>20</v>
      </c>
      <c r="J2" t="s">
        <v>58</v>
      </c>
      <c r="K2" t="str">
        <f>COMPLEX(H2*COS(I2),H2*SIN(I2),"j")</f>
        <v>40,8082061813392+91,2945250727628j</v>
      </c>
    </row>
    <row r="3" spans="1:11" x14ac:dyDescent="0.25">
      <c r="A3" s="10" t="s">
        <v>59</v>
      </c>
      <c r="B3" s="10" t="s">
        <v>89</v>
      </c>
      <c r="C3" s="10">
        <f t="shared" ref="C3:C8" si="0">IMABS(B3)</f>
        <v>99.995784731157556</v>
      </c>
      <c r="D3" s="10">
        <f t="shared" ref="D3:D8" si="1">DEGREES(IMARGUMENT(B3))</f>
        <v>65.9146400462906</v>
      </c>
    </row>
    <row r="4" spans="1:11" x14ac:dyDescent="0.25">
      <c r="A4" s="9" t="s">
        <v>60</v>
      </c>
      <c r="B4" s="9" t="s">
        <v>90</v>
      </c>
      <c r="C4" s="9">
        <f t="shared" si="0"/>
        <v>28.588391944983542</v>
      </c>
      <c r="D4" s="9">
        <f t="shared" si="1"/>
        <v>-19.65314998530091</v>
      </c>
      <c r="G4" s="14"/>
    </row>
    <row r="5" spans="1:11" x14ac:dyDescent="0.25">
      <c r="A5" s="10" t="s">
        <v>61</v>
      </c>
      <c r="B5" s="10" t="str">
        <f>IMSUM(B3,B4)</f>
        <v>67,731+81,675j</v>
      </c>
      <c r="C5" s="10">
        <f t="shared" si="0"/>
        <v>106.10510819936992</v>
      </c>
      <c r="D5" s="10">
        <f t="shared" si="1"/>
        <v>50.331945981509925</v>
      </c>
    </row>
    <row r="6" spans="1:11" x14ac:dyDescent="0.25">
      <c r="A6" s="9" t="s">
        <v>71</v>
      </c>
      <c r="B6" s="9" t="str">
        <f>IMSUB(B3,B4)</f>
        <v>13,885+100,905j</v>
      </c>
      <c r="C6" s="9">
        <f t="shared" si="0"/>
        <v>101.85584052964268</v>
      </c>
      <c r="D6" s="9">
        <f t="shared" si="1"/>
        <v>82.16503727244752</v>
      </c>
    </row>
    <row r="7" spans="1:11" x14ac:dyDescent="0.25">
      <c r="A7" s="10" t="s">
        <v>62</v>
      </c>
      <c r="B7" s="10" t="str">
        <f>IMPRODUCT(B3,B4)</f>
        <v>1976,427134+2065,43175j</v>
      </c>
      <c r="C7" s="10">
        <f t="shared" si="0"/>
        <v>2858.7186867405326</v>
      </c>
      <c r="D7" s="10">
        <f t="shared" si="1"/>
        <v>46.261490060989701</v>
      </c>
      <c r="F7" t="s">
        <v>70</v>
      </c>
    </row>
    <row r="8" spans="1:11" x14ac:dyDescent="0.25">
      <c r="A8" s="9" t="s">
        <v>63</v>
      </c>
      <c r="B8" s="9" t="str">
        <f>IMDIV(B3,B4)</f>
        <v>0,270306464699209+3,48731555391609j</v>
      </c>
      <c r="C8" s="9">
        <f t="shared" si="0"/>
        <v>3.4977757728938643</v>
      </c>
      <c r="D8" s="9">
        <f t="shared" si="1"/>
        <v>85.5677900315915</v>
      </c>
    </row>
    <row r="9" spans="1:11" x14ac:dyDescent="0.25">
      <c r="A9" t="s">
        <v>69</v>
      </c>
      <c r="B9" t="str">
        <f>IMCONJUGATE(B3)</f>
        <v>40,808-91,29j</v>
      </c>
    </row>
    <row r="10" spans="1:11" x14ac:dyDescent="0.25">
      <c r="A10" t="s">
        <v>66</v>
      </c>
    </row>
    <row r="11" spans="1:11" x14ac:dyDescent="0.25">
      <c r="B11" t="s">
        <v>64</v>
      </c>
      <c r="C11" t="s">
        <v>19</v>
      </c>
      <c r="D11" s="1" t="s">
        <v>18</v>
      </c>
    </row>
    <row r="12" spans="1:11" x14ac:dyDescent="0.25">
      <c r="A12" t="s">
        <v>59</v>
      </c>
      <c r="B12" t="s">
        <v>87</v>
      </c>
      <c r="C12">
        <f t="shared" ref="C12:C14" si="2">IMABS(B12)</f>
        <v>31.622776601683796</v>
      </c>
      <c r="D12">
        <f t="shared" ref="D12:D14" si="3">DEGREES(IMARGUMENT(B12))</f>
        <v>18.43494882292201</v>
      </c>
    </row>
    <row r="13" spans="1:11" x14ac:dyDescent="0.25">
      <c r="A13" t="s">
        <v>60</v>
      </c>
      <c r="B13" t="s">
        <v>88</v>
      </c>
      <c r="C13">
        <f t="shared" si="2"/>
        <v>28.284271247461902</v>
      </c>
      <c r="D13">
        <f t="shared" si="3"/>
        <v>-45</v>
      </c>
    </row>
    <row r="14" spans="1:11" x14ac:dyDescent="0.25">
      <c r="A14" s="11" t="s">
        <v>67</v>
      </c>
      <c r="B14" s="11" t="str">
        <f>IMDIV(IMPRODUCT(B12,B13),IMSUM(B12,B13))</f>
        <v>16,9230769230769-4,61538461538461j</v>
      </c>
      <c r="C14" s="11">
        <f t="shared" si="2"/>
        <v>17.541160386140557</v>
      </c>
      <c r="D14" s="11">
        <f t="shared" si="3"/>
        <v>-15.255118703057777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9" sqref="B9"/>
    </sheetView>
  </sheetViews>
  <sheetFormatPr defaultRowHeight="15" x14ac:dyDescent="0.25"/>
  <sheetData>
    <row r="1" spans="1:8" x14ac:dyDescent="0.25">
      <c r="A1" t="s">
        <v>3</v>
      </c>
      <c r="B1" t="s">
        <v>68</v>
      </c>
      <c r="D1" t="s">
        <v>93</v>
      </c>
      <c r="E1" t="s">
        <v>99</v>
      </c>
      <c r="G1" t="s">
        <v>96</v>
      </c>
      <c r="H1" t="s">
        <v>102</v>
      </c>
    </row>
    <row r="2" spans="1:8" x14ac:dyDescent="0.25">
      <c r="A2" t="s">
        <v>4</v>
      </c>
      <c r="B2">
        <v>20</v>
      </c>
      <c r="D2" t="s">
        <v>94</v>
      </c>
      <c r="G2" t="s">
        <v>97</v>
      </c>
      <c r="H2" t="s">
        <v>101</v>
      </c>
    </row>
    <row r="3" spans="1:8" x14ac:dyDescent="0.25">
      <c r="A3" t="s">
        <v>5</v>
      </c>
      <c r="B3">
        <v>30</v>
      </c>
      <c r="D3" t="s">
        <v>95</v>
      </c>
      <c r="E3" t="s">
        <v>100</v>
      </c>
      <c r="G3" t="s">
        <v>98</v>
      </c>
      <c r="H3" t="s">
        <v>103</v>
      </c>
    </row>
    <row r="6" spans="1:8" x14ac:dyDescent="0.25">
      <c r="A6" t="s">
        <v>28</v>
      </c>
      <c r="B6" t="str">
        <f>IMSUM(B1,E1,H1)</f>
        <v>10-5j</v>
      </c>
    </row>
    <row r="7" spans="1:8" x14ac:dyDescent="0.25">
      <c r="A7" t="s">
        <v>29</v>
      </c>
      <c r="B7" t="str">
        <f>IMSUM(B2,E2,H2)</f>
        <v>20-20j</v>
      </c>
    </row>
    <row r="8" spans="1:8" x14ac:dyDescent="0.25">
      <c r="A8" t="s">
        <v>30</v>
      </c>
      <c r="B8" t="str">
        <f>IMSUM(B3,E3,H3)</f>
        <v>30+10j</v>
      </c>
    </row>
    <row r="9" spans="1:8" x14ac:dyDescent="0.25">
      <c r="A9" t="s">
        <v>91</v>
      </c>
      <c r="B9" s="11" t="str">
        <f>IMDIV(IMPRODUCT(B7,B8),IMSUM(B7,B8))</f>
        <v>16,9230769230769-4,61538461538461j</v>
      </c>
    </row>
    <row r="10" spans="1:8" x14ac:dyDescent="0.25">
      <c r="A10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120</vt:i4>
      </vt:variant>
    </vt:vector>
  </HeadingPairs>
  <TitlesOfParts>
    <vt:vector size="123" baseType="lpstr">
      <vt:lpstr>Лист1</vt:lpstr>
      <vt:lpstr>Лист2</vt:lpstr>
      <vt:lpstr>Лист3</vt:lpstr>
      <vt:lpstr>_A11</vt:lpstr>
      <vt:lpstr>_A12</vt:lpstr>
      <vt:lpstr>_A21</vt:lpstr>
      <vt:lpstr>_A22</vt:lpstr>
      <vt:lpstr>_C1</vt:lpstr>
      <vt:lpstr>_C2</vt:lpstr>
      <vt:lpstr>_C3</vt:lpstr>
      <vt:lpstr>_E</vt:lpstr>
      <vt:lpstr>_E2345</vt:lpstr>
      <vt:lpstr>_E2345_?</vt:lpstr>
      <vt:lpstr>_E45</vt:lpstr>
      <vt:lpstr>_E45_?</vt:lpstr>
      <vt:lpstr>_f</vt:lpstr>
      <vt:lpstr>_f1m</vt:lpstr>
      <vt:lpstr>_f2m</vt:lpstr>
      <vt:lpstr>_f3m</vt:lpstr>
      <vt:lpstr>_f4m</vt:lpstr>
      <vt:lpstr>_f5m</vt:lpstr>
      <vt:lpstr>_f6m</vt:lpstr>
      <vt:lpstr>_f7m</vt:lpstr>
      <vt:lpstr>_f8m</vt:lpstr>
      <vt:lpstr>_fi?_1_1</vt:lpstr>
      <vt:lpstr>_fi?1</vt:lpstr>
      <vt:lpstr>_fi?2</vt:lpstr>
      <vt:lpstr>_fi?2_2</vt:lpstr>
      <vt:lpstr>_fi?3</vt:lpstr>
      <vt:lpstr>_fi?5</vt:lpstr>
      <vt:lpstr>_fi?6</vt:lpstr>
      <vt:lpstr>_fi1</vt:lpstr>
      <vt:lpstr>_fi1_1</vt:lpstr>
      <vt:lpstr>_fi2</vt:lpstr>
      <vt:lpstr>_fi2_2</vt:lpstr>
      <vt:lpstr>_fi3</vt:lpstr>
      <vt:lpstr>_fi4</vt:lpstr>
      <vt:lpstr>_fi5?</vt:lpstr>
      <vt:lpstr>_fi6</vt:lpstr>
      <vt:lpstr>_fi7</vt:lpstr>
      <vt:lpstr>_I1</vt:lpstr>
      <vt:lpstr>_I1_?</vt:lpstr>
      <vt:lpstr>_I1_?_2</vt:lpstr>
      <vt:lpstr>_I1_2</vt:lpstr>
      <vt:lpstr>_I1m</vt:lpstr>
      <vt:lpstr>_I1m_2</vt:lpstr>
      <vt:lpstr>_I1p</vt:lpstr>
      <vt:lpstr>_I2</vt:lpstr>
      <vt:lpstr>_I2_?</vt:lpstr>
      <vt:lpstr>_I2_?_2</vt:lpstr>
      <vt:lpstr>_I2_2</vt:lpstr>
      <vt:lpstr>_I2m</vt:lpstr>
      <vt:lpstr>_I2m_2</vt:lpstr>
      <vt:lpstr>_I2p</vt:lpstr>
      <vt:lpstr>_I3</vt:lpstr>
      <vt:lpstr>_I3_?</vt:lpstr>
      <vt:lpstr>_I3_?_2</vt:lpstr>
      <vt:lpstr>_I3_2</vt:lpstr>
      <vt:lpstr>_I3m</vt:lpstr>
      <vt:lpstr>_I3m_2</vt:lpstr>
      <vt:lpstr>_I4</vt:lpstr>
      <vt:lpstr>_I4_?</vt:lpstr>
      <vt:lpstr>_I4_?_2</vt:lpstr>
      <vt:lpstr>_I4_2</vt:lpstr>
      <vt:lpstr>_I4m</vt:lpstr>
      <vt:lpstr>_I5</vt:lpstr>
      <vt:lpstr>_I5_?</vt:lpstr>
      <vt:lpstr>_I5_?_2</vt:lpstr>
      <vt:lpstr>_I5_2</vt:lpstr>
      <vt:lpstr>_I5m</vt:lpstr>
      <vt:lpstr>_Ik1</vt:lpstr>
      <vt:lpstr>_Ik2</vt:lpstr>
      <vt:lpstr>_L1</vt:lpstr>
      <vt:lpstr>_L2</vt:lpstr>
      <vt:lpstr>_L3</vt:lpstr>
      <vt:lpstr>_M</vt:lpstr>
      <vt:lpstr>_omega</vt:lpstr>
      <vt:lpstr>_psi</vt:lpstr>
      <vt:lpstr>_R1</vt:lpstr>
      <vt:lpstr>_R2</vt:lpstr>
      <vt:lpstr>_R3</vt:lpstr>
      <vt:lpstr>_R4</vt:lpstr>
      <vt:lpstr>_Re</vt:lpstr>
      <vt:lpstr>_U2p</vt:lpstr>
      <vt:lpstr>_Um45</vt:lpstr>
      <vt:lpstr>_X_C1</vt:lpstr>
      <vt:lpstr>_X_C2</vt:lpstr>
      <vt:lpstr>_X_C3</vt:lpstr>
      <vt:lpstr>_X_L1</vt:lpstr>
      <vt:lpstr>_X_L2</vt:lpstr>
      <vt:lpstr>_X_L3</vt:lpstr>
      <vt:lpstr>_X2</vt:lpstr>
      <vt:lpstr>_Xe</vt:lpstr>
      <vt:lpstr>_Xm</vt:lpstr>
      <vt:lpstr>_y</vt:lpstr>
      <vt:lpstr>_Y2345</vt:lpstr>
      <vt:lpstr>_Z</vt:lpstr>
      <vt:lpstr>_Z?</vt:lpstr>
      <vt:lpstr>_Z?2345</vt:lpstr>
      <vt:lpstr>_Z1</vt:lpstr>
      <vt:lpstr>_Z11</vt:lpstr>
      <vt:lpstr>_Z12</vt:lpstr>
      <vt:lpstr>_Z1p</vt:lpstr>
      <vt:lpstr>_Z1t</vt:lpstr>
      <vt:lpstr>_Z2</vt:lpstr>
      <vt:lpstr>_Z22</vt:lpstr>
      <vt:lpstr>_Z2345</vt:lpstr>
      <vt:lpstr>_Z234p</vt:lpstr>
      <vt:lpstr>_Z2p</vt:lpstr>
      <vt:lpstr>_Z2t</vt:lpstr>
      <vt:lpstr>_Z3</vt:lpstr>
      <vt:lpstr>_Z34</vt:lpstr>
      <vt:lpstr>_Z345</vt:lpstr>
      <vt:lpstr>_Z34p</vt:lpstr>
      <vt:lpstr>_Z3p</vt:lpstr>
      <vt:lpstr>_Z3t</vt:lpstr>
      <vt:lpstr>_Z4</vt:lpstr>
      <vt:lpstr>_Z45</vt:lpstr>
      <vt:lpstr>_Z4p</vt:lpstr>
      <vt:lpstr>_Z5</vt:lpstr>
      <vt:lpstr>_ZC1p</vt:lpstr>
      <vt:lpstr>_ZC2p</vt:lpstr>
      <vt:lpstr>_Ze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2013-12-09T21:10:23Z</dcterms:modified>
</cp:coreProperties>
</file>