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rade\Desktop\Учеба\study\TerVer\матстат\"/>
    </mc:Choice>
  </mc:AlternateContent>
  <bookViews>
    <workbookView xWindow="0" yWindow="0" windowWidth="28800" windowHeight="12300" firstSheet="2" activeTab="4"/>
  </bookViews>
  <sheets>
    <sheet name="Лист1" sheetId="1" r:id="rId1"/>
    <sheet name="МС Задание2.1 пункт 1 и 2" sheetId="2" r:id="rId2"/>
    <sheet name="матстат пара" sheetId="3" r:id="rId3"/>
    <sheet name="Мс задание 2.2" sheetId="4" r:id="rId4"/>
    <sheet name="Мс задание 2.3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6" i="2" l="1"/>
  <c r="K74" i="2"/>
  <c r="K72" i="2"/>
  <c r="E2" i="2"/>
  <c r="E1" i="2" l="1"/>
  <c r="J76" i="2"/>
  <c r="J75" i="2"/>
  <c r="K73" i="2"/>
  <c r="K71" i="2"/>
  <c r="K70" i="2"/>
  <c r="L72" i="2" s="1"/>
  <c r="K69" i="2"/>
  <c r="L71" i="2" s="1"/>
  <c r="K68" i="2"/>
  <c r="K67" i="2"/>
  <c r="I65" i="2"/>
  <c r="A56" i="2"/>
  <c r="A53" i="2"/>
  <c r="A54" i="2"/>
  <c r="A55" i="2"/>
  <c r="A58" i="2"/>
  <c r="A59" i="2"/>
  <c r="A60" i="2"/>
  <c r="A61" i="2"/>
  <c r="A63" i="2" l="1"/>
  <c r="A57" i="2"/>
  <c r="A62" i="2"/>
  <c r="M22" i="5"/>
  <c r="M19" i="5"/>
  <c r="M23" i="5" s="1"/>
  <c r="M24" i="5" s="1"/>
  <c r="M20" i="5"/>
  <c r="M21" i="5"/>
  <c r="M18" i="5"/>
  <c r="L19" i="5"/>
  <c r="L23" i="5" s="1"/>
  <c r="L20" i="5"/>
  <c r="L21" i="5"/>
  <c r="L22" i="5"/>
  <c r="L18" i="5"/>
  <c r="K15" i="5"/>
  <c r="L15" i="5"/>
  <c r="Q15" i="5" s="1"/>
  <c r="R15" i="5" s="1"/>
  <c r="M15" i="5"/>
  <c r="N15" i="5"/>
  <c r="O15" i="5"/>
  <c r="P15" i="5"/>
  <c r="P14" i="5"/>
  <c r="L14" i="5"/>
  <c r="M14" i="5"/>
  <c r="N14" i="5"/>
  <c r="O14" i="5"/>
  <c r="K14" i="5"/>
  <c r="E16" i="5"/>
  <c r="Q14" i="5" l="1"/>
  <c r="E20" i="5"/>
  <c r="E17" i="5"/>
  <c r="E18" i="5"/>
  <c r="E19" i="5"/>
  <c r="N3" i="5"/>
  <c r="J9" i="5"/>
  <c r="J8" i="5"/>
  <c r="J7" i="5"/>
  <c r="J6" i="5"/>
  <c r="J5" i="5"/>
  <c r="I10" i="5"/>
  <c r="H10" i="5"/>
  <c r="G10" i="5"/>
  <c r="F10" i="5"/>
  <c r="E10" i="5"/>
  <c r="D10" i="5"/>
  <c r="C32" i="4"/>
  <c r="C20" i="4"/>
  <c r="C33" i="4"/>
  <c r="E16" i="4"/>
  <c r="D16" i="4"/>
  <c r="C21" i="4"/>
  <c r="A19" i="3"/>
  <c r="D11" i="3"/>
  <c r="A9" i="3"/>
  <c r="D7" i="3"/>
  <c r="H3" i="4"/>
  <c r="E5" i="4" s="1"/>
  <c r="J5" i="4" s="1"/>
  <c r="G3" i="4"/>
  <c r="D4" i="4" s="1"/>
  <c r="I4" i="4" s="1"/>
  <c r="B4" i="3"/>
  <c r="A17" i="3" s="1"/>
  <c r="B5" i="3"/>
  <c r="A18" i="3" s="1"/>
  <c r="E32" i="4"/>
  <c r="E27" i="4"/>
  <c r="E28" i="4"/>
  <c r="E29" i="4"/>
  <c r="E30" i="4"/>
  <c r="E31" i="4"/>
  <c r="E26" i="4"/>
  <c r="E17" i="4"/>
  <c r="E18" i="4"/>
  <c r="E19" i="4"/>
  <c r="E20" i="4"/>
  <c r="E21" i="4"/>
  <c r="E22" i="4"/>
  <c r="D19" i="4"/>
  <c r="D18" i="4"/>
  <c r="D17" i="4"/>
  <c r="D20" i="4"/>
  <c r="D21" i="4"/>
  <c r="D22" i="4"/>
  <c r="C10" i="4"/>
  <c r="B10" i="4"/>
  <c r="F64" i="3"/>
  <c r="C64" i="3"/>
  <c r="D64" i="3"/>
  <c r="E64" i="3"/>
  <c r="B64" i="3"/>
  <c r="H58" i="3"/>
  <c r="I58" i="3"/>
  <c r="J58" i="3"/>
  <c r="F59" i="3"/>
  <c r="F60" i="3"/>
  <c r="F61" i="3"/>
  <c r="F58" i="3"/>
  <c r="C62" i="3"/>
  <c r="D62" i="3"/>
  <c r="E62" i="3"/>
  <c r="B62" i="3"/>
  <c r="P23" i="3"/>
  <c r="P22" i="3" s="1"/>
  <c r="Q23" i="3"/>
  <c r="Q22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N38" i="3"/>
  <c r="N23" i="3"/>
  <c r="N37" i="3"/>
  <c r="N22" i="3"/>
  <c r="B17" i="3"/>
  <c r="B19" i="3" s="1"/>
  <c r="C17" i="3"/>
  <c r="D17" i="3"/>
  <c r="E17" i="3"/>
  <c r="E19" i="3" s="1"/>
  <c r="F17" i="3"/>
  <c r="F19" i="3" s="1"/>
  <c r="G17" i="3"/>
  <c r="H17" i="3"/>
  <c r="I17" i="3"/>
  <c r="I19" i="3" s="1"/>
  <c r="J17" i="3"/>
  <c r="J19" i="3" s="1"/>
  <c r="K17" i="3"/>
  <c r="L17" i="3"/>
  <c r="M17" i="3"/>
  <c r="M19" i="3" s="1"/>
  <c r="N17" i="3"/>
  <c r="N19" i="3" s="1"/>
  <c r="O17" i="3"/>
  <c r="B18" i="3"/>
  <c r="C18" i="3"/>
  <c r="D18" i="3"/>
  <c r="D19" i="3" s="1"/>
  <c r="E18" i="3"/>
  <c r="F18" i="3"/>
  <c r="G18" i="3"/>
  <c r="H18" i="3"/>
  <c r="H19" i="3" s="1"/>
  <c r="I18" i="3"/>
  <c r="J18" i="3"/>
  <c r="K18" i="3"/>
  <c r="L18" i="3"/>
  <c r="L19" i="3" s="1"/>
  <c r="M18" i="3"/>
  <c r="N18" i="3"/>
  <c r="O18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A46" i="2"/>
  <c r="A5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7" i="2"/>
  <c r="A48" i="2"/>
  <c r="A49" i="2"/>
  <c r="A50" i="2"/>
  <c r="A51" i="2"/>
  <c r="A1" i="2"/>
  <c r="F16" i="2"/>
  <c r="F15" i="2"/>
  <c r="F14" i="2"/>
  <c r="F13" i="2"/>
  <c r="F12" i="2"/>
  <c r="F11" i="2"/>
  <c r="F10" i="2"/>
  <c r="F9" i="2"/>
  <c r="J11" i="2"/>
  <c r="M6" i="5" l="1"/>
  <c r="B20" i="5" s="1"/>
  <c r="L6" i="5"/>
  <c r="D13" i="5" s="1"/>
  <c r="E21" i="5"/>
  <c r="E33" i="4"/>
  <c r="E8" i="4"/>
  <c r="J8" i="4" s="1"/>
  <c r="E9" i="4"/>
  <c r="J9" i="4" s="1"/>
  <c r="E7" i="4"/>
  <c r="J7" i="4" s="1"/>
  <c r="E4" i="4"/>
  <c r="E3" i="4"/>
  <c r="J3" i="4" s="1"/>
  <c r="D7" i="4"/>
  <c r="I7" i="4" s="1"/>
  <c r="D6" i="4"/>
  <c r="I6" i="4" s="1"/>
  <c r="D23" i="4"/>
  <c r="E23" i="4"/>
  <c r="D3" i="4"/>
  <c r="J4" i="4"/>
  <c r="D9" i="4"/>
  <c r="D5" i="4"/>
  <c r="I5" i="4" s="1"/>
  <c r="D8" i="4"/>
  <c r="I8" i="4" s="1"/>
  <c r="K19" i="3"/>
  <c r="G19" i="3"/>
  <c r="C19" i="3"/>
  <c r="O19" i="3"/>
  <c r="B15" i="3"/>
  <c r="B21" i="3" s="1"/>
  <c r="E6" i="4"/>
  <c r="J6" i="4" s="1"/>
  <c r="B17" i="5" l="1"/>
  <c r="B16" i="5"/>
  <c r="B19" i="5"/>
  <c r="C13" i="5"/>
  <c r="B13" i="5"/>
  <c r="G13" i="5"/>
  <c r="B18" i="5"/>
  <c r="F13" i="5"/>
  <c r="N8" i="5"/>
  <c r="Q6" i="5" s="1"/>
  <c r="Q5" i="5" s="1"/>
  <c r="E13" i="5"/>
  <c r="F7" i="4"/>
  <c r="J10" i="4"/>
  <c r="B21" i="4"/>
  <c r="B20" i="4" s="1"/>
  <c r="F5" i="4"/>
  <c r="B33" i="4"/>
  <c r="B32" i="4" s="1"/>
  <c r="I3" i="4"/>
  <c r="F3" i="4"/>
  <c r="I9" i="4"/>
  <c r="F9" i="4"/>
  <c r="F4" i="2"/>
  <c r="F6" i="2" s="1"/>
  <c r="S8" i="2" s="1"/>
  <c r="S6" i="2"/>
  <c r="S4" i="2"/>
  <c r="S9" i="2"/>
  <c r="S7" i="2"/>
  <c r="S10" i="2"/>
  <c r="F4" i="4"/>
  <c r="F8" i="4"/>
  <c r="F6" i="4"/>
  <c r="B21" i="5" l="1"/>
  <c r="H13" i="5"/>
  <c r="Q4" i="5"/>
  <c r="Q3" i="5" s="1"/>
  <c r="N9" i="5"/>
  <c r="P9" i="5" s="1"/>
  <c r="S5" i="2"/>
  <c r="E9" i="2"/>
  <c r="S3" i="2"/>
  <c r="G10" i="4"/>
  <c r="I10" i="4"/>
  <c r="G11" i="4" s="1"/>
  <c r="L2" i="2"/>
  <c r="M2" i="2" s="1"/>
  <c r="E10" i="2"/>
  <c r="E11" i="2" s="1"/>
  <c r="L4" i="2" s="1"/>
  <c r="D10" i="2"/>
  <c r="K99" i="1"/>
  <c r="J99" i="1"/>
  <c r="M93" i="1"/>
  <c r="M92" i="1"/>
  <c r="M86" i="1"/>
  <c r="M81" i="1"/>
  <c r="H83" i="1"/>
  <c r="F83" i="1"/>
  <c r="H82" i="1"/>
  <c r="F81" i="1"/>
  <c r="H81" i="1"/>
  <c r="H80" i="1"/>
  <c r="F82" i="1"/>
  <c r="F80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81" i="1"/>
  <c r="H14" i="1"/>
  <c r="G14" i="1"/>
  <c r="F15" i="1"/>
  <c r="F16" i="1"/>
  <c r="F17" i="1"/>
  <c r="F14" i="1"/>
  <c r="E15" i="1"/>
  <c r="E16" i="1"/>
  <c r="E17" i="1"/>
  <c r="E14" i="1"/>
  <c r="F2" i="1"/>
  <c r="C3" i="1"/>
  <c r="B3" i="1"/>
  <c r="B1" i="1"/>
  <c r="A1" i="1"/>
  <c r="E12" i="2" l="1"/>
  <c r="E13" i="2" s="1"/>
  <c r="L3" i="2"/>
  <c r="F13" i="4"/>
  <c r="D12" i="2"/>
  <c r="M3" i="2"/>
  <c r="Q3" i="2"/>
  <c r="E14" i="2"/>
  <c r="E15" i="2" s="1"/>
  <c r="L6" i="2"/>
  <c r="L5" i="2" l="1"/>
  <c r="D14" i="2"/>
  <c r="L7" i="2" s="1"/>
  <c r="Q4" i="2"/>
  <c r="M4" i="2"/>
  <c r="L8" i="2"/>
  <c r="E16" i="2"/>
  <c r="D16" i="2"/>
  <c r="L9" i="2" l="1"/>
  <c r="M5" i="2"/>
  <c r="Q5" i="2"/>
  <c r="M6" i="2" l="1"/>
  <c r="Q6" i="2"/>
  <c r="M7" i="2" l="1"/>
  <c r="Q7" i="2"/>
  <c r="M8" i="2" l="1"/>
  <c r="Q8" i="2"/>
  <c r="M9" i="2" l="1"/>
  <c r="Q9" i="2"/>
  <c r="Q10" i="2" l="1"/>
  <c r="K77" i="2"/>
  <c r="I55" i="2"/>
  <c r="J56" i="2" l="1"/>
  <c r="J57" i="2"/>
  <c r="J58" i="2"/>
  <c r="J59" i="2"/>
  <c r="J60" i="2"/>
  <c r="J61" i="2"/>
  <c r="J62" i="2"/>
  <c r="J63" i="2"/>
  <c r="K78" i="2" l="1"/>
</calcChain>
</file>

<file path=xl/sharedStrings.xml><?xml version="1.0" encoding="utf-8"?>
<sst xmlns="http://schemas.openxmlformats.org/spreadsheetml/2006/main" count="202" uniqueCount="132">
  <si>
    <t>x</t>
  </si>
  <si>
    <t>y</t>
  </si>
  <si>
    <t>p</t>
  </si>
  <si>
    <t>M(x)</t>
  </si>
  <si>
    <t xml:space="preserve"> μ3(x)</t>
  </si>
  <si>
    <t xml:space="preserve"> μ4(x)</t>
  </si>
  <si>
    <t>Сумма  μ3(x)</t>
  </si>
  <si>
    <t>Сумма  μ4(x)</t>
  </si>
  <si>
    <t>[-∞;0]</t>
  </si>
  <si>
    <t>[-∞;3]</t>
  </si>
  <si>
    <t>(0;1]</t>
  </si>
  <si>
    <t>(1;2]</t>
  </si>
  <si>
    <t>(2;3]</t>
  </si>
  <si>
    <t>1)</t>
  </si>
  <si>
    <t>2)</t>
  </si>
  <si>
    <t>3)</t>
  </si>
  <si>
    <t>4)</t>
  </si>
  <si>
    <t>5)</t>
  </si>
  <si>
    <t>х</t>
  </si>
  <si>
    <t>р</t>
  </si>
  <si>
    <t>32*%</t>
  </si>
  <si>
    <t>округл(32*%)</t>
  </si>
  <si>
    <t>Насколько нужно ответить правильно</t>
  </si>
  <si>
    <t>Dx</t>
  </si>
  <si>
    <t>Dy</t>
  </si>
  <si>
    <t>Xy</t>
  </si>
  <si>
    <t>M(xy)</t>
  </si>
  <si>
    <t>cov(xy)</t>
  </si>
  <si>
    <t>Интервал</t>
  </si>
  <si>
    <t>Р=0,87</t>
  </si>
  <si>
    <t>min</t>
  </si>
  <si>
    <t>max</t>
  </si>
  <si>
    <t>Размах</t>
  </si>
  <si>
    <t>Кол-во интервалов</t>
  </si>
  <si>
    <t>Шаг</t>
  </si>
  <si>
    <t>Интервалы</t>
  </si>
  <si>
    <t>Частота</t>
  </si>
  <si>
    <t>Карман</t>
  </si>
  <si>
    <t>Еще</t>
  </si>
  <si>
    <t>Проверка:</t>
  </si>
  <si>
    <t>Середина</t>
  </si>
  <si>
    <t>(1инт+2инт)/2</t>
  </si>
  <si>
    <t>Таблица для гистограммы частот</t>
  </si>
  <si>
    <t>Значения</t>
  </si>
  <si>
    <t>Частоты</t>
  </si>
  <si>
    <t>относит.частота/h</t>
  </si>
  <si>
    <t>n</t>
  </si>
  <si>
    <t>Медиана</t>
  </si>
  <si>
    <t>Выборочная средняя</t>
  </si>
  <si>
    <t>Среднее геометрическое</t>
  </si>
  <si>
    <t>Среднее гармоническое</t>
  </si>
  <si>
    <t>Смещенная дисперсия</t>
  </si>
  <si>
    <t>Несмещенная дисперсия</t>
  </si>
  <si>
    <t>Ср.квад.отклонение смещенное</t>
  </si>
  <si>
    <t>Ср.квад.отклонение несмещ</t>
  </si>
  <si>
    <t>Ср.знач.абс.отклонений</t>
  </si>
  <si>
    <t>Коэффициент вариации</t>
  </si>
  <si>
    <t>Асимметрия</t>
  </si>
  <si>
    <t>Эксцесс</t>
  </si>
  <si>
    <t>Ср.знач по сгруп-ым данным</t>
  </si>
  <si>
    <t>Дисперсия по сгруп-ым данн</t>
  </si>
  <si>
    <t>у</t>
  </si>
  <si>
    <t>xcр</t>
  </si>
  <si>
    <t>уср</t>
  </si>
  <si>
    <t>Сумма кв отклонений х</t>
  </si>
  <si>
    <t>Сумма кв отклонений у</t>
  </si>
  <si>
    <t>Общее</t>
  </si>
  <si>
    <t>а</t>
  </si>
  <si>
    <t>b</t>
  </si>
  <si>
    <t xml:space="preserve"> кореляц r</t>
  </si>
  <si>
    <t>a1</t>
  </si>
  <si>
    <t>b1</t>
  </si>
  <si>
    <t>Проверка</t>
  </si>
  <si>
    <t>y/x</t>
  </si>
  <si>
    <t>40-50(45)</t>
  </si>
  <si>
    <t>50-60(55)</t>
  </si>
  <si>
    <t>60-70(65)</t>
  </si>
  <si>
    <t>70-80(75)</t>
  </si>
  <si>
    <t>10-11(10,5)</t>
  </si>
  <si>
    <t>11-12(11,5)</t>
  </si>
  <si>
    <t>12-13(12,5)</t>
  </si>
  <si>
    <t>13-14(13,5)</t>
  </si>
  <si>
    <t>Сумма</t>
  </si>
  <si>
    <t>обьем выборки</t>
  </si>
  <si>
    <t>(x-xcp)^2*ni</t>
  </si>
  <si>
    <t>хср</t>
  </si>
  <si>
    <t>x-xср</t>
  </si>
  <si>
    <t>у-уср</t>
  </si>
  <si>
    <t>Числитель</t>
  </si>
  <si>
    <t>(х-хср)*(у-уср)</t>
  </si>
  <si>
    <t>(x-xср)^2</t>
  </si>
  <si>
    <t>(у-уср)^2</t>
  </si>
  <si>
    <t>Знаменатель</t>
  </si>
  <si>
    <t>Коэффициент корреляции</t>
  </si>
  <si>
    <t>Уравнения регрессии</t>
  </si>
  <si>
    <t>х*у</t>
  </si>
  <si>
    <t>х^2</t>
  </si>
  <si>
    <t>кол-во пар(х,у)</t>
  </si>
  <si>
    <t>a</t>
  </si>
  <si>
    <t>y^2</t>
  </si>
  <si>
    <t>проверка</t>
  </si>
  <si>
    <t>Регрессия X на Y</t>
  </si>
  <si>
    <t>Регрессия Y на X</t>
  </si>
  <si>
    <t>Y\X</t>
  </si>
  <si>
    <t>Объем выборки</t>
  </si>
  <si>
    <t>xcp</t>
  </si>
  <si>
    <t>ycp</t>
  </si>
  <si>
    <t>(х-хср)^2*ni</t>
  </si>
  <si>
    <t>(y-ycp)^2*ni</t>
  </si>
  <si>
    <t>Для r</t>
  </si>
  <si>
    <t>ni</t>
  </si>
  <si>
    <t>ni*xi^2</t>
  </si>
  <si>
    <t>ni*xi</t>
  </si>
  <si>
    <t>r</t>
  </si>
  <si>
    <t>уравнение прямой</t>
  </si>
  <si>
    <t>ni*yi^2</t>
  </si>
  <si>
    <t>ni*yi</t>
  </si>
  <si>
    <t>у=а+bx= 3.9970+0.3034x</t>
  </si>
  <si>
    <t>x=а+by= 7.4159+0.2935y</t>
  </si>
  <si>
    <t>3 - 7</t>
  </si>
  <si>
    <t>7 - 11</t>
  </si>
  <si>
    <t>11 - 15</t>
  </si>
  <si>
    <t>15 - 19</t>
  </si>
  <si>
    <t>19 - 23</t>
  </si>
  <si>
    <t>23 - 27</t>
  </si>
  <si>
    <t>1 - 3</t>
  </si>
  <si>
    <t>3 - 5</t>
  </si>
  <si>
    <t>5 - 7</t>
  </si>
  <si>
    <t>7 - 9</t>
  </si>
  <si>
    <t>9 - 11</t>
  </si>
  <si>
    <t>у=0,8236+0,34477х</t>
  </si>
  <si>
    <t>x=5,21273+1,60591y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</si>
</sst>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2"/>
      <color theme="1" tint="4.9989318521683403E-2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0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3" xfId="0" applyBorder="1"/>
    <xf numFmtId="0" fontId="4" fillId="0" borderId="0" xfId="0" applyFont="1"/>
    <xf numFmtId="0" fontId="0" fillId="0" borderId="16" xfId="0" applyBorder="1"/>
    <xf numFmtId="0" fontId="0" fillId="0" borderId="17" xfId="0" applyBorder="1"/>
    <xf numFmtId="0" fontId="5" fillId="2" borderId="14" xfId="0" applyFont="1" applyFill="1" applyBorder="1"/>
    <xf numFmtId="0" fontId="5" fillId="2" borderId="16" xfId="0" applyFont="1" applyFill="1" applyBorder="1"/>
    <xf numFmtId="0" fontId="4" fillId="0" borderId="15" xfId="0" applyFont="1" applyBorder="1"/>
    <xf numFmtId="0" fontId="4" fillId="0" borderId="17" xfId="0" applyFont="1" applyBorder="1"/>
    <xf numFmtId="0" fontId="0" fillId="0" borderId="20" xfId="0" applyBorder="1"/>
    <xf numFmtId="0" fontId="4" fillId="0" borderId="20" xfId="0" applyFont="1" applyBorder="1"/>
    <xf numFmtId="0" fontId="4" fillId="0" borderId="1" xfId="0" applyFont="1" applyBorder="1"/>
    <xf numFmtId="0" fontId="4" fillId="0" borderId="19" xfId="0" applyFont="1" applyBorder="1"/>
    <xf numFmtId="0" fontId="4" fillId="0" borderId="16" xfId="0" applyFont="1" applyBorder="1"/>
    <xf numFmtId="0" fontId="4" fillId="0" borderId="21" xfId="0" applyFont="1" applyBorder="1"/>
    <xf numFmtId="0" fontId="4" fillId="2" borderId="15" xfId="0" applyFont="1" applyFill="1" applyBorder="1" applyAlignment="1">
      <alignment horizontal="center"/>
    </xf>
    <xf numFmtId="0" fontId="0" fillId="0" borderId="21" xfId="0" applyBorder="1"/>
    <xf numFmtId="0" fontId="4" fillId="5" borderId="14" xfId="0" applyFont="1" applyFill="1" applyBorder="1" applyAlignment="1">
      <alignment horizontal="center"/>
    </xf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  <xf numFmtId="164" fontId="4" fillId="0" borderId="1" xfId="0" applyNumberFormat="1" applyFont="1" applyBorder="1"/>
    <xf numFmtId="164" fontId="4" fillId="0" borderId="19" xfId="0" applyNumberFormat="1" applyFont="1" applyBorder="1"/>
    <xf numFmtId="164" fontId="4" fillId="0" borderId="16" xfId="0" applyNumberFormat="1" applyFont="1" applyBorder="1"/>
    <xf numFmtId="0" fontId="4" fillId="2" borderId="18" xfId="0" applyFont="1" applyFill="1" applyBorder="1" applyAlignment="1">
      <alignment horizontal="center"/>
    </xf>
    <xf numFmtId="164" fontId="4" fillId="0" borderId="21" xfId="0" applyNumberFormat="1" applyFont="1" applyBorder="1"/>
    <xf numFmtId="164" fontId="0" fillId="0" borderId="19" xfId="0" applyNumberFormat="1" applyBorder="1"/>
    <xf numFmtId="164" fontId="0" fillId="0" borderId="16" xfId="0" applyNumberFormat="1" applyBorder="1"/>
    <xf numFmtId="0" fontId="4" fillId="2" borderId="27" xfId="0" applyFont="1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4" fillId="7" borderId="1" xfId="0" applyFont="1" applyFill="1" applyBorder="1"/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4" fillId="0" borderId="9" xfId="0" applyFont="1" applyBorder="1"/>
    <xf numFmtId="0" fontId="4" fillId="0" borderId="36" xfId="0" applyFont="1" applyBorder="1"/>
    <xf numFmtId="0" fontId="4" fillId="0" borderId="37" xfId="0" applyFont="1" applyBorder="1"/>
    <xf numFmtId="0" fontId="4" fillId="0" borderId="38" xfId="0" applyFont="1" applyBorder="1"/>
    <xf numFmtId="0" fontId="0" fillId="0" borderId="14" xfId="0" applyBorder="1"/>
    <xf numFmtId="0" fontId="0" fillId="0" borderId="18" xfId="0" applyBorder="1"/>
    <xf numFmtId="0" fontId="0" fillId="0" borderId="15" xfId="0" applyBorder="1"/>
    <xf numFmtId="16" fontId="0" fillId="0" borderId="19" xfId="0" quotePrefix="1" applyNumberFormat="1" applyBorder="1"/>
    <xf numFmtId="0" fontId="0" fillId="0" borderId="19" xfId="0" quotePrefix="1" applyBorder="1"/>
    <xf numFmtId="0" fontId="0" fillId="0" borderId="16" xfId="0" quotePrefix="1" applyBorder="1"/>
    <xf numFmtId="0" fontId="0" fillId="0" borderId="39" xfId="0" applyBorder="1"/>
    <xf numFmtId="0" fontId="0" fillId="0" borderId="25" xfId="0" applyBorder="1"/>
    <xf numFmtId="0" fontId="0" fillId="0" borderId="27" xfId="0" applyBorder="1"/>
    <xf numFmtId="0" fontId="0" fillId="0" borderId="40" xfId="0" applyBorder="1"/>
    <xf numFmtId="0" fontId="0" fillId="0" borderId="41" xfId="0" applyBorder="1"/>
    <xf numFmtId="0" fontId="0" fillId="2" borderId="42" xfId="0" applyFill="1" applyBorder="1"/>
    <xf numFmtId="0" fontId="4" fillId="2" borderId="14" xfId="0" applyFont="1" applyFill="1" applyBorder="1"/>
    <xf numFmtId="0" fontId="4" fillId="2" borderId="16" xfId="0" applyFont="1" applyFill="1" applyBorder="1"/>
    <xf numFmtId="0" fontId="4" fillId="2" borderId="23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9" xfId="0" applyBorder="1"/>
    <xf numFmtId="0" fontId="4" fillId="2" borderId="14" xfId="0" applyFont="1" applyFill="1" applyBorder="1" applyAlignment="1">
      <alignment horizontal="center"/>
    </xf>
    <xf numFmtId="0" fontId="4" fillId="0" borderId="43" xfId="0" applyFont="1" applyBorder="1"/>
    <xf numFmtId="0" fontId="4" fillId="0" borderId="41" xfId="0" applyFont="1" applyBorder="1"/>
    <xf numFmtId="0" fontId="4" fillId="0" borderId="42" xfId="0" applyFont="1" applyBorder="1"/>
    <xf numFmtId="0" fontId="4" fillId="0" borderId="38" xfId="0" applyFont="1" applyBorder="1"/>
    <xf numFmtId="0" fontId="4" fillId="0" borderId="19" xfId="0" applyFont="1" applyBorder="1"/>
    <xf numFmtId="0" fontId="4" fillId="0" borderId="1" xfId="0" applyFont="1" applyBorder="1"/>
    <xf numFmtId="0" fontId="4" fillId="8" borderId="45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8" xfId="0" applyFont="1" applyBorder="1"/>
    <xf numFmtId="0" fontId="4" fillId="0" borderId="2" xfId="0" applyFont="1" applyBorder="1"/>
    <xf numFmtId="0" fontId="4" fillId="6" borderId="14" xfId="0" applyFont="1" applyFill="1" applyBorder="1" applyAlignment="1">
      <alignment horizontal="center"/>
    </xf>
    <xf numFmtId="0" fontId="4" fillId="6" borderId="27" xfId="0" applyFont="1" applyFill="1" applyBorder="1" applyAlignment="1">
      <alignment horizontal="center"/>
    </xf>
    <xf numFmtId="0" fontId="4" fillId="0" borderId="8" xfId="0" applyFont="1" applyFill="1" applyBorder="1"/>
    <xf numFmtId="0" fontId="4" fillId="0" borderId="40" xfId="0" applyFont="1" applyFill="1" applyBorder="1"/>
    <xf numFmtId="0" fontId="4" fillId="0" borderId="30" xfId="0" applyFont="1" applyFill="1" applyBorder="1"/>
    <xf numFmtId="0" fontId="4" fillId="0" borderId="30" xfId="0" applyFont="1" applyBorder="1"/>
    <xf numFmtId="0" fontId="4" fillId="0" borderId="31" xfId="0" applyFont="1" applyBorder="1"/>
    <xf numFmtId="0" fontId="4" fillId="0" borderId="46" xfId="0" applyFont="1" applyFill="1" applyBorder="1"/>
    <xf numFmtId="0" fontId="4" fillId="0" borderId="39" xfId="0" applyFont="1" applyBorder="1"/>
    <xf numFmtId="0" fontId="4" fillId="2" borderId="24" xfId="0" applyFont="1" applyFill="1" applyBorder="1" applyAlignment="1">
      <alignment horizontal="center"/>
    </xf>
    <xf numFmtId="0" fontId="4" fillId="6" borderId="29" xfId="0" applyFont="1" applyFill="1" applyBorder="1" applyAlignment="1">
      <alignment horizontal="center"/>
    </xf>
    <xf numFmtId="0" fontId="4" fillId="8" borderId="40" xfId="0" applyFont="1" applyFill="1" applyBorder="1"/>
    <xf numFmtId="0" fontId="4" fillId="5" borderId="15" xfId="0" applyFont="1" applyFill="1" applyBorder="1" applyAlignment="1">
      <alignment horizontal="center"/>
    </xf>
    <xf numFmtId="0" fontId="0" fillId="0" borderId="38" xfId="0" applyBorder="1"/>
    <xf numFmtId="0" fontId="0" fillId="0" borderId="43" xfId="0" applyBorder="1"/>
    <xf numFmtId="0" fontId="4" fillId="5" borderId="39" xfId="0" applyFont="1" applyFill="1" applyBorder="1" applyAlignment="1">
      <alignment horizontal="center"/>
    </xf>
    <xf numFmtId="0" fontId="4" fillId="6" borderId="36" xfId="0" applyFont="1" applyFill="1" applyBorder="1" applyAlignment="1">
      <alignment horizontal="center"/>
    </xf>
    <xf numFmtId="0" fontId="4" fillId="0" borderId="47" xfId="0" applyFont="1" applyBorder="1"/>
    <xf numFmtId="165" fontId="4" fillId="0" borderId="26" xfId="0" applyNumberFormat="1" applyFont="1" applyBorder="1"/>
    <xf numFmtId="0" fontId="4" fillId="2" borderId="39" xfId="0" applyFont="1" applyFill="1" applyBorder="1"/>
    <xf numFmtId="164" fontId="4" fillId="0" borderId="15" xfId="0" applyNumberFormat="1" applyFont="1" applyBorder="1"/>
    <xf numFmtId="164" fontId="4" fillId="0" borderId="17" xfId="0" applyNumberFormat="1" applyFont="1" applyBorder="1"/>
    <xf numFmtId="0" fontId="4" fillId="0" borderId="0" xfId="0" applyFont="1" applyBorder="1"/>
    <xf numFmtId="0" fontId="4" fillId="2" borderId="39" xfId="0" applyFont="1" applyFill="1" applyBorder="1" applyAlignment="1">
      <alignment horizontal="center"/>
    </xf>
    <xf numFmtId="0" fontId="4" fillId="0" borderId="52" xfId="0" applyFont="1" applyBorder="1"/>
    <xf numFmtId="0" fontId="4" fillId="2" borderId="29" xfId="0" applyFont="1" applyFill="1" applyBorder="1" applyAlignment="1">
      <alignment horizontal="center"/>
    </xf>
    <xf numFmtId="0" fontId="4" fillId="0" borderId="41" xfId="0" applyFont="1" applyFill="1" applyBorder="1"/>
    <xf numFmtId="0" fontId="4" fillId="0" borderId="42" xfId="0" applyFont="1" applyFill="1" applyBorder="1"/>
    <xf numFmtId="0" fontId="0" fillId="0" borderId="0" xfId="0" applyFill="1" applyBorder="1"/>
    <xf numFmtId="0" fontId="4" fillId="5" borderId="24" xfId="0" applyFont="1" applyFill="1" applyBorder="1" applyAlignment="1">
      <alignment horizontal="center"/>
    </xf>
    <xf numFmtId="0" fontId="4" fillId="0" borderId="31" xfId="0" applyFont="1" applyFill="1" applyBorder="1"/>
    <xf numFmtId="0" fontId="4" fillId="0" borderId="17" xfId="0" applyFont="1" applyBorder="1" applyAlignment="1">
      <alignment horizontal="center"/>
    </xf>
    <xf numFmtId="16" fontId="4" fillId="3" borderId="14" xfId="0" quotePrefix="1" applyNumberFormat="1" applyFont="1" applyFill="1" applyBorder="1" applyAlignment="1">
      <alignment horizontal="center"/>
    </xf>
    <xf numFmtId="0" fontId="4" fillId="3" borderId="18" xfId="0" quotePrefix="1" applyFont="1" applyFill="1" applyBorder="1" applyAlignment="1">
      <alignment horizontal="center"/>
    </xf>
    <xf numFmtId="0" fontId="4" fillId="3" borderId="15" xfId="0" quotePrefix="1" applyFont="1" applyFill="1" applyBorder="1" applyAlignment="1">
      <alignment horizontal="center"/>
    </xf>
    <xf numFmtId="0" fontId="4" fillId="3" borderId="14" xfId="0" quotePrefix="1" applyFont="1" applyFill="1" applyBorder="1" applyAlignment="1">
      <alignment horizontal="center"/>
    </xf>
    <xf numFmtId="0" fontId="4" fillId="3" borderId="19" xfId="0" quotePrefix="1" applyFont="1" applyFill="1" applyBorder="1" applyAlignment="1">
      <alignment horizontal="center"/>
    </xf>
    <xf numFmtId="0" fontId="4" fillId="3" borderId="16" xfId="0" quotePrefix="1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5" borderId="43" xfId="0" applyFont="1" applyFill="1" applyBorder="1" applyAlignment="1">
      <alignment horizontal="center"/>
    </xf>
    <xf numFmtId="0" fontId="8" fillId="0" borderId="7" xfId="0" applyFont="1" applyBorder="1"/>
    <xf numFmtId="0" fontId="8" fillId="0" borderId="12" xfId="0" applyFont="1" applyBorder="1"/>
    <xf numFmtId="0" fontId="8" fillId="0" borderId="11" xfId="0" applyFont="1" applyBorder="1"/>
    <xf numFmtId="0" fontId="8" fillId="0" borderId="1" xfId="0" applyFont="1" applyBorder="1"/>
    <xf numFmtId="0" fontId="8" fillId="0" borderId="3" xfId="0" applyFont="1" applyBorder="1"/>
    <xf numFmtId="0" fontId="8" fillId="0" borderId="9" xfId="0" applyFont="1" applyBorder="1"/>
    <xf numFmtId="0" fontId="4" fillId="0" borderId="49" xfId="0" applyFont="1" applyBorder="1" applyAlignment="1"/>
    <xf numFmtId="0" fontId="4" fillId="5" borderId="40" xfId="0" applyFont="1" applyFill="1" applyBorder="1" applyAlignment="1">
      <alignment horizontal="center"/>
    </xf>
    <xf numFmtId="0" fontId="8" fillId="0" borderId="6" xfId="0" applyFont="1" applyBorder="1"/>
    <xf numFmtId="0" fontId="8" fillId="0" borderId="8" xfId="0" applyFont="1" applyBorder="1"/>
    <xf numFmtId="0" fontId="8" fillId="0" borderId="2" xfId="0" applyFont="1" applyBorder="1"/>
    <xf numFmtId="0" fontId="4" fillId="2" borderId="29" xfId="0" applyFont="1" applyFill="1" applyBorder="1" applyAlignment="1"/>
    <xf numFmtId="0" fontId="4" fillId="2" borderId="14" xfId="0" applyFont="1" applyFill="1" applyBorder="1" applyAlignment="1">
      <alignment horizontal="center"/>
    </xf>
    <xf numFmtId="0" fontId="4" fillId="0" borderId="32" xfId="0" applyFont="1" applyBorder="1"/>
    <xf numFmtId="0" fontId="4" fillId="0" borderId="40" xfId="0" applyFont="1" applyBorder="1"/>
    <xf numFmtId="0" fontId="4" fillId="0" borderId="0" xfId="0" applyFont="1" applyBorder="1" applyAlignment="1">
      <alignment horizontal="center"/>
    </xf>
    <xf numFmtId="0" fontId="4" fillId="0" borderId="53" xfId="0" applyFont="1" applyBorder="1"/>
    <xf numFmtId="0" fontId="4" fillId="0" borderId="34" xfId="0" applyFont="1" applyBorder="1"/>
    <xf numFmtId="0" fontId="4" fillId="2" borderId="44" xfId="0" applyFont="1" applyFill="1" applyBorder="1"/>
    <xf numFmtId="0" fontId="4" fillId="0" borderId="28" xfId="0" applyFont="1" applyBorder="1"/>
    <xf numFmtId="0" fontId="4" fillId="0" borderId="46" xfId="0" applyFont="1" applyBorder="1"/>
    <xf numFmtId="0" fontId="4" fillId="2" borderId="29" xfId="0" applyFont="1" applyFill="1" applyBorder="1"/>
    <xf numFmtId="0" fontId="4" fillId="2" borderId="38" xfId="0" applyFont="1" applyFill="1" applyBorder="1"/>
    <xf numFmtId="0" fontId="0" fillId="2" borderId="19" xfId="0" applyFill="1" applyBorder="1"/>
    <xf numFmtId="0" fontId="0" fillId="2" borderId="16" xfId="0" applyFill="1" applyBorder="1"/>
    <xf numFmtId="0" fontId="4" fillId="0" borderId="19" xfId="0" applyFont="1" applyFill="1" applyBorder="1" applyAlignment="1">
      <alignment horizontal="center"/>
    </xf>
    <xf numFmtId="0" fontId="4" fillId="2" borderId="44" xfId="0" applyFont="1" applyFill="1" applyBorder="1" applyAlignment="1">
      <alignment horizontal="center"/>
    </xf>
    <xf numFmtId="0" fontId="4" fillId="2" borderId="19" xfId="0" applyFont="1" applyFill="1" applyBorder="1"/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4" fillId="2" borderId="14" xfId="0" applyFont="1" applyFill="1" applyBorder="1"/>
    <xf numFmtId="0" fontId="4" fillId="2" borderId="18" xfId="0" applyFont="1" applyFill="1" applyBorder="1"/>
    <xf numFmtId="0" fontId="4" fillId="2" borderId="16" xfId="0" applyFont="1" applyFill="1" applyBorder="1"/>
    <xf numFmtId="0" fontId="4" fillId="2" borderId="21" xfId="0" applyFont="1" applyFill="1" applyBorder="1"/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9" xfId="0" applyFont="1" applyBorder="1"/>
    <xf numFmtId="0" fontId="4" fillId="0" borderId="1" xfId="0" applyFont="1" applyBorder="1"/>
    <xf numFmtId="0" fontId="4" fillId="2" borderId="19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38" xfId="0" applyFont="1" applyBorder="1"/>
    <xf numFmtId="0" fontId="4" fillId="0" borderId="9" xfId="0" applyFont="1" applyBorder="1"/>
    <xf numFmtId="0" fontId="4" fillId="0" borderId="1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1" xfId="0" applyBorder="1"/>
    <xf numFmtId="0" fontId="0" fillId="0" borderId="0" xfId="0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50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51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9" borderId="24" xfId="0" applyFont="1" applyFill="1" applyBorder="1" applyAlignment="1">
      <alignment horizontal="center"/>
    </xf>
    <xf numFmtId="0" fontId="4" fillId="9" borderId="2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0" fontId="4" fillId="2" borderId="41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8" xfId="0" applyFill="1" applyBorder="1" applyAlignment="1"/>
    <xf numFmtId="0" fontId="6" fillId="0" borderId="5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Многоугольник распределения СВХ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Лист1!$I$3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Лист1!$H$4:$H$7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Лист1!$I$4:$I$7</c:f>
              <c:numCache>
                <c:formatCode>General</c:formatCode>
                <c:ptCount val="4"/>
                <c:pt idx="0">
                  <c:v>0.91300000000000003</c:v>
                </c:pt>
                <c:pt idx="1">
                  <c:v>8.5000000000000006E-2</c:v>
                </c:pt>
                <c:pt idx="2">
                  <c:v>3.0000000000000001E-3</c:v>
                </c:pt>
                <c:pt idx="3">
                  <c:v>2.6999999999999999E-5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5-4D44-A2CA-DFDBC7872B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4601440"/>
        <c:axId val="394601768"/>
      </c:lineChart>
      <c:catAx>
        <c:axId val="39460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601768"/>
        <c:crosses val="autoZero"/>
        <c:auto val="1"/>
        <c:lblAlgn val="ctr"/>
        <c:lblOffset val="100"/>
        <c:noMultiLvlLbl val="0"/>
      </c:catAx>
      <c:valAx>
        <c:axId val="39460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6014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Лист1!$B$30:$B$34</c:f>
              <c:numCache>
                <c:formatCode>General</c:formatCode>
                <c:ptCount val="5"/>
                <c:pt idx="0">
                  <c:v>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</c:numCache>
            </c:numRef>
          </c:xVal>
          <c:yVal>
            <c:numRef>
              <c:f>Лист1!$C$30:$C$34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2-4025-8179-39D2E225611A}"/>
            </c:ext>
          </c:extLst>
        </c:ser>
        <c:ser>
          <c:idx val="1"/>
          <c:order val="1"/>
          <c:tx>
            <c:v>ряд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Лист1!$B$37:$B$46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Лист1!$C$37:$C$46</c:f>
              <c:numCache>
                <c:formatCode>General</c:formatCode>
                <c:ptCount val="10"/>
                <c:pt idx="0">
                  <c:v>0.91267299999999996</c:v>
                </c:pt>
                <c:pt idx="1">
                  <c:v>0.91267299999999996</c:v>
                </c:pt>
                <c:pt idx="2">
                  <c:v>0.91267299999999996</c:v>
                </c:pt>
                <c:pt idx="3">
                  <c:v>0.91267299999999996</c:v>
                </c:pt>
                <c:pt idx="4">
                  <c:v>0.91267299999999996</c:v>
                </c:pt>
                <c:pt idx="5">
                  <c:v>0.91267299999999996</c:v>
                </c:pt>
                <c:pt idx="6">
                  <c:v>0.91267299999999996</c:v>
                </c:pt>
                <c:pt idx="7">
                  <c:v>0.91267299999999996</c:v>
                </c:pt>
                <c:pt idx="8">
                  <c:v>0.91267299999999996</c:v>
                </c:pt>
                <c:pt idx="9">
                  <c:v>0.91267299999999996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2-4025-8179-39D2E225611A}"/>
            </c:ext>
          </c:extLst>
        </c:ser>
        <c:ser>
          <c:idx val="2"/>
          <c:order val="2"/>
          <c:tx>
            <c:v>ряд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Лист1!$B$49:$B$58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xVal>
          <c:yVal>
            <c:numRef>
              <c:f>Лист1!$C$49:$C$58</c:f>
              <c:numCache>
                <c:formatCode>General</c:formatCode>
                <c:ptCount val="10"/>
                <c:pt idx="0">
                  <c:v>0.99735399999999996</c:v>
                </c:pt>
                <c:pt idx="1">
                  <c:v>0.99735399999999996</c:v>
                </c:pt>
                <c:pt idx="2">
                  <c:v>0.99735399999999996</c:v>
                </c:pt>
                <c:pt idx="3">
                  <c:v>0.99735399999999996</c:v>
                </c:pt>
                <c:pt idx="4">
                  <c:v>0.99735399999999996</c:v>
                </c:pt>
                <c:pt idx="5">
                  <c:v>0.99735399999999996</c:v>
                </c:pt>
                <c:pt idx="6">
                  <c:v>0.99735399999999996</c:v>
                </c:pt>
                <c:pt idx="7">
                  <c:v>0.99735399999999996</c:v>
                </c:pt>
                <c:pt idx="8">
                  <c:v>0.99735399999999996</c:v>
                </c:pt>
                <c:pt idx="9">
                  <c:v>0.99735399999999996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82-4025-8179-39D2E225611A}"/>
            </c:ext>
          </c:extLst>
        </c:ser>
        <c:ser>
          <c:idx val="3"/>
          <c:order val="3"/>
          <c:tx>
            <c:v>ряд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Лист1!$B$61:$B$70</c:f>
              <c:numCache>
                <c:formatCode>General</c:formatCode>
                <c:ptCount val="10"/>
                <c:pt idx="0">
                  <c:v>2.1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2.9</c:v>
                </c:pt>
                <c:pt idx="9">
                  <c:v>3</c:v>
                </c:pt>
              </c:numCache>
            </c:numRef>
          </c:xVal>
          <c:yVal>
            <c:numRef>
              <c:f>Лист1!$C$61:$C$70</c:f>
              <c:numCache>
                <c:formatCode>General</c:formatCode>
                <c:ptCount val="10"/>
                <c:pt idx="0">
                  <c:v>0.999973</c:v>
                </c:pt>
                <c:pt idx="1">
                  <c:v>0.999973</c:v>
                </c:pt>
                <c:pt idx="2">
                  <c:v>0.999973</c:v>
                </c:pt>
                <c:pt idx="3">
                  <c:v>0.999973</c:v>
                </c:pt>
                <c:pt idx="4">
                  <c:v>0.999973</c:v>
                </c:pt>
                <c:pt idx="5">
                  <c:v>0.999973</c:v>
                </c:pt>
                <c:pt idx="6">
                  <c:v>0.999973</c:v>
                </c:pt>
                <c:pt idx="7">
                  <c:v>0.999973</c:v>
                </c:pt>
                <c:pt idx="8">
                  <c:v>0.999973</c:v>
                </c:pt>
                <c:pt idx="9">
                  <c:v>0.999973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82-4025-8179-39D2E225611A}"/>
            </c:ext>
          </c:extLst>
        </c:ser>
        <c:ser>
          <c:idx val="4"/>
          <c:order val="4"/>
          <c:tx>
            <c:v>ряд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Лист1!$B$73:$B$77</c:f>
              <c:numCache>
                <c:formatCode>General</c:formatCode>
                <c:ptCount val="5"/>
                <c:pt idx="0">
                  <c:v>3.1</c:v>
                </c:pt>
                <c:pt idx="1">
                  <c:v>3.2</c:v>
                </c:pt>
                <c:pt idx="2">
                  <c:v>3.3</c:v>
                </c:pt>
                <c:pt idx="3">
                  <c:v>3.4</c:v>
                </c:pt>
                <c:pt idx="4">
                  <c:v>3.5</c:v>
                </c:pt>
              </c:numCache>
            </c:numRef>
          </c:xVal>
          <c:yVal>
            <c:numRef>
              <c:f>Лист1!$C$73:$C$77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82-4025-8179-39D2E2256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37136"/>
        <c:axId val="601035168"/>
      </c:scatterChart>
      <c:valAx>
        <c:axId val="6010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035168"/>
        <c:crosses val="autoZero"/>
        <c:crossBetween val="midCat"/>
      </c:valAx>
      <c:valAx>
        <c:axId val="6010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0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частот</a:t>
            </a:r>
          </a:p>
          <a:p>
            <a:pPr>
              <a:defRPr/>
            </a:pPr>
            <a:r>
              <a:rPr lang="ru-RU" sz="1400" b="0" i="0" u="none" strike="noStrike" baseline="0">
                <a:effectLst/>
              </a:rPr>
              <a:t>(Доллар США)</a:t>
            </a:r>
            <a:endParaRPr lang="ru-R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'МС Задание2.1 пункт 1 и 2'!$Q$3:$Q$10</c:f>
              <c:numCache>
                <c:formatCode>0.0000</c:formatCode>
                <c:ptCount val="8"/>
                <c:pt idx="0">
                  <c:v>56.196137500000006</c:v>
                </c:pt>
                <c:pt idx="1">
                  <c:v>57.245012500000009</c:v>
                </c:pt>
                <c:pt idx="2">
                  <c:v>58.293887500000011</c:v>
                </c:pt>
                <c:pt idx="3">
                  <c:v>59.342762500000013</c:v>
                </c:pt>
                <c:pt idx="4">
                  <c:v>60.391637500000016</c:v>
                </c:pt>
                <c:pt idx="5">
                  <c:v>61.440512500000018</c:v>
                </c:pt>
                <c:pt idx="6">
                  <c:v>62.489387500000021</c:v>
                </c:pt>
                <c:pt idx="7">
                  <c:v>63.538262500000023</c:v>
                </c:pt>
              </c:numCache>
            </c:numRef>
          </c:cat>
          <c:val>
            <c:numRef>
              <c:f>'МС Задание2.1 пункт 1 и 2'!$S$3:$S$10</c:f>
              <c:numCache>
                <c:formatCode>General</c:formatCode>
                <c:ptCount val="8"/>
                <c:pt idx="0">
                  <c:v>0.18160046762120399</c:v>
                </c:pt>
                <c:pt idx="1">
                  <c:v>0.33293419063887397</c:v>
                </c:pt>
                <c:pt idx="2">
                  <c:v>7.5666861508835004E-2</c:v>
                </c:pt>
                <c:pt idx="3">
                  <c:v>0</c:v>
                </c:pt>
                <c:pt idx="4">
                  <c:v>1.5133372301766999E-2</c:v>
                </c:pt>
                <c:pt idx="5">
                  <c:v>0.15133372301767001</c:v>
                </c:pt>
                <c:pt idx="6">
                  <c:v>0.15133372301767001</c:v>
                </c:pt>
                <c:pt idx="7">
                  <c:v>4.5400116905300998E-2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2-469C-B372-848E1FF8C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-27"/>
        <c:axId val="557962136"/>
        <c:axId val="557956560"/>
      </c:barChart>
      <c:catAx>
        <c:axId val="557962136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956560"/>
        <c:crosses val="autoZero"/>
        <c:auto val="1"/>
        <c:lblAlgn val="ctr"/>
        <c:lblOffset val="100"/>
        <c:noMultiLvlLbl val="0"/>
      </c:catAx>
      <c:valAx>
        <c:axId val="5579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962136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частот</a:t>
            </a:r>
          </a:p>
          <a:p>
            <a:pPr>
              <a:defRPr/>
            </a:pPr>
            <a:r>
              <a:rPr lang="ru-RU"/>
              <a:t>(Доллар США)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'МС Задание2.1 пункт 1 и 2'!$Q$3:$Q$10</c:f>
              <c:numCache>
                <c:formatCode>0.0000</c:formatCode>
                <c:ptCount val="8"/>
                <c:pt idx="0">
                  <c:v>56.196137500000006</c:v>
                </c:pt>
                <c:pt idx="1">
                  <c:v>57.245012500000009</c:v>
                </c:pt>
                <c:pt idx="2">
                  <c:v>58.293887500000011</c:v>
                </c:pt>
                <c:pt idx="3">
                  <c:v>59.342762500000013</c:v>
                </c:pt>
                <c:pt idx="4">
                  <c:v>60.391637500000016</c:v>
                </c:pt>
                <c:pt idx="5">
                  <c:v>61.440512500000018</c:v>
                </c:pt>
                <c:pt idx="6">
                  <c:v>62.489387500000021</c:v>
                </c:pt>
                <c:pt idx="7">
                  <c:v>63.538262500000023</c:v>
                </c:pt>
              </c:numCache>
            </c:numRef>
          </c:cat>
          <c:val>
            <c:numRef>
              <c:f>'МС Задание2.1 пункт 1 и 2'!$S$3:$S$10</c:f>
              <c:numCache>
                <c:formatCode>General</c:formatCode>
                <c:ptCount val="8"/>
                <c:pt idx="0">
                  <c:v>0.18160046762120399</c:v>
                </c:pt>
                <c:pt idx="1">
                  <c:v>0.33293419063887397</c:v>
                </c:pt>
                <c:pt idx="2">
                  <c:v>7.5666861508835004E-2</c:v>
                </c:pt>
                <c:pt idx="3">
                  <c:v>0</c:v>
                </c:pt>
                <c:pt idx="4">
                  <c:v>1.5133372301766999E-2</c:v>
                </c:pt>
                <c:pt idx="5">
                  <c:v>0.15133372301767001</c:v>
                </c:pt>
                <c:pt idx="6">
                  <c:v>0.15133372301767001</c:v>
                </c:pt>
                <c:pt idx="7">
                  <c:v>4.5400116905300998E-2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C-42A9-9910-DCB3C7638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183192"/>
        <c:axId val="668184176"/>
      </c:lineChart>
      <c:catAx>
        <c:axId val="66818319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184176"/>
        <c:crosses val="autoZero"/>
        <c:auto val="1"/>
        <c:lblAlgn val="ctr"/>
        <c:lblOffset val="100"/>
        <c:noMultiLvlLbl val="0"/>
      </c:catAx>
      <c:valAx>
        <c:axId val="6681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183192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'матстат пара'!$A$1:$O$1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</c:numCache>
            </c:numRef>
          </c:xVal>
          <c:yVal>
            <c:numRef>
              <c:f>'матстат пара'!$A$2:$O$2</c:f>
              <c:numCache>
                <c:formatCode>General</c:formatCode>
                <c:ptCount val="15"/>
                <c:pt idx="0">
                  <c:v>24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32</c:v>
                </c:pt>
                <c:pt idx="5">
                  <c:v>18</c:v>
                </c:pt>
                <c:pt idx="6">
                  <c:v>0</c:v>
                </c:pt>
                <c:pt idx="7">
                  <c:v>27</c:v>
                </c:pt>
                <c:pt idx="8">
                  <c:v>32</c:v>
                </c:pt>
                <c:pt idx="9">
                  <c:v>18</c:v>
                </c:pt>
                <c:pt idx="10">
                  <c:v>23</c:v>
                </c:pt>
                <c:pt idx="11">
                  <c:v>32</c:v>
                </c:pt>
                <c:pt idx="12">
                  <c:v>32</c:v>
                </c:pt>
                <c:pt idx="13">
                  <c:v>0</c:v>
                </c:pt>
                <c:pt idx="1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A-4F18-9EE2-41E880F12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87912"/>
        <c:axId val="492492504"/>
      </c:scatterChart>
      <c:valAx>
        <c:axId val="49248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492504"/>
        <c:crosses val="autoZero"/>
        <c:crossBetween val="midCat"/>
      </c:valAx>
      <c:valAx>
        <c:axId val="49249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48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'матстат пара'!$A$34:$O$34</c:f>
              <c:numCache>
                <c:formatCode>General</c:formatCode>
                <c:ptCount val="15"/>
                <c:pt idx="0">
                  <c:v>24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32</c:v>
                </c:pt>
                <c:pt idx="5">
                  <c:v>18</c:v>
                </c:pt>
                <c:pt idx="6">
                  <c:v>0</c:v>
                </c:pt>
                <c:pt idx="7">
                  <c:v>27</c:v>
                </c:pt>
                <c:pt idx="8">
                  <c:v>32</c:v>
                </c:pt>
                <c:pt idx="9">
                  <c:v>18</c:v>
                </c:pt>
                <c:pt idx="10">
                  <c:v>23</c:v>
                </c:pt>
                <c:pt idx="11">
                  <c:v>32</c:v>
                </c:pt>
                <c:pt idx="12">
                  <c:v>32</c:v>
                </c:pt>
                <c:pt idx="13">
                  <c:v>0</c:v>
                </c:pt>
                <c:pt idx="14">
                  <c:v>32</c:v>
                </c:pt>
              </c:numCache>
            </c:numRef>
          </c:xVal>
          <c:yVal>
            <c:numRef>
              <c:f>'матстат пара'!$A$35:$O$35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4-4399-9D50-FA3182D96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40568"/>
        <c:axId val="478040896"/>
      </c:scatterChart>
      <c:valAx>
        <c:axId val="47804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040896"/>
        <c:crosses val="autoZero"/>
        <c:crossBetween val="midCat"/>
      </c:valAx>
      <c:valAx>
        <c:axId val="4780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04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Регрессия</a:t>
            </a:r>
            <a:r>
              <a:rPr lang="ru-RU" baseline="0"/>
              <a:t> </a:t>
            </a:r>
            <a:r>
              <a:rPr lang="en-US" baseline="0"/>
              <a:t>X </a:t>
            </a:r>
            <a:r>
              <a:rPr lang="ru-RU" baseline="0"/>
              <a:t>на </a:t>
            </a:r>
            <a:r>
              <a:rPr lang="en-US" baseline="0"/>
              <a:t>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40726159230097"/>
                  <c:y val="-0.31139946048410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'Мс задание 2.2'!$I$32:$I$38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11</c:v>
                </c:pt>
                <c:pt idx="5">
                  <c:v>1</c:v>
                </c:pt>
                <c:pt idx="6">
                  <c:v>12</c:v>
                </c:pt>
              </c:numCache>
            </c:numRef>
          </c:xVal>
          <c:yVal>
            <c:numRef>
              <c:f>'Мс задание 2.2'!$J$32:$J$38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13</c:v>
                </c:pt>
                <c:pt idx="3">
                  <c:v>8</c:v>
                </c:pt>
                <c:pt idx="4">
                  <c:v>7</c:v>
                </c:pt>
                <c:pt idx="5">
                  <c:v>12</c:v>
                </c:pt>
                <c:pt idx="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8-47B1-978A-165C5FDDE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19504"/>
        <c:axId val="627620816"/>
      </c:scatterChart>
      <c:valAx>
        <c:axId val="62761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620816"/>
        <c:crosses val="autoZero"/>
        <c:crossBetween val="midCat"/>
      </c:valAx>
      <c:valAx>
        <c:axId val="6276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61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Регрессия</a:t>
            </a:r>
            <a:r>
              <a:rPr lang="en-US"/>
              <a:t> Y</a:t>
            </a:r>
            <a:r>
              <a:rPr lang="ru-RU"/>
              <a:t> на</a:t>
            </a:r>
            <a:r>
              <a:rPr lang="en-US"/>
              <a:t> X</a:t>
            </a:r>
            <a:r>
              <a:rPr lang="ru-RU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84405074365705"/>
                  <c:y val="-0.35861913094196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'Мс задание 2.2'!$I$16:$I$22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13</c:v>
                </c:pt>
                <c:pt idx="3">
                  <c:v>8</c:v>
                </c:pt>
                <c:pt idx="4">
                  <c:v>7</c:v>
                </c:pt>
                <c:pt idx="5">
                  <c:v>12</c:v>
                </c:pt>
                <c:pt idx="6">
                  <c:v>15</c:v>
                </c:pt>
              </c:numCache>
            </c:numRef>
          </c:xVal>
          <c:yVal>
            <c:numRef>
              <c:f>'Мс задание 2.2'!$J$16:$J$22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11</c:v>
                </c:pt>
                <c:pt idx="5">
                  <c:v>1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5-435F-91D7-CBADD6A0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42960"/>
        <c:axId val="124144600"/>
      </c:scatterChart>
      <c:valAx>
        <c:axId val="12414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144600"/>
        <c:crosses val="autoZero"/>
        <c:crossBetween val="midCat"/>
      </c:valAx>
      <c:valAx>
        <c:axId val="12414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14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2</xdr:row>
      <xdr:rowOff>128587</xdr:rowOff>
    </xdr:from>
    <xdr:to>
      <xdr:col>17</xdr:col>
      <xdr:colOff>142875</xdr:colOff>
      <xdr:row>17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405C2BC-2B3C-2B4D-CB70-CBFB5ED67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28</xdr:row>
      <xdr:rowOff>61912</xdr:rowOff>
    </xdr:from>
    <xdr:to>
      <xdr:col>12</xdr:col>
      <xdr:colOff>466725</xdr:colOff>
      <xdr:row>42</xdr:row>
      <xdr:rowOff>138112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DC14A10-6D18-05CC-7B81-522A36950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10</xdr:row>
      <xdr:rowOff>38100</xdr:rowOff>
    </xdr:from>
    <xdr:to>
      <xdr:col>20</xdr:col>
      <xdr:colOff>38100</xdr:colOff>
      <xdr:row>23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BCD6771-4BA7-1363-C205-89B109309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85725</xdr:colOff>
      <xdr:row>25</xdr:row>
      <xdr:rowOff>85725</xdr:rowOff>
    </xdr:from>
    <xdr:to>
      <xdr:col>20</xdr:col>
      <xdr:colOff>561975</xdr:colOff>
      <xdr:row>39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853787-AED2-B197-96BF-BE534095B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19</xdr:row>
      <xdr:rowOff>33130</xdr:rowOff>
    </xdr:from>
    <xdr:to>
      <xdr:col>11</xdr:col>
      <xdr:colOff>107674</xdr:colOff>
      <xdr:row>32</xdr:row>
      <xdr:rowOff>58805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E9E8DF-27FD-B7F9-C423-48984C21C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472109</xdr:colOff>
      <xdr:row>36</xdr:row>
      <xdr:rowOff>66260</xdr:rowOff>
    </xdr:from>
    <xdr:to>
      <xdr:col>11</xdr:col>
      <xdr:colOff>107674</xdr:colOff>
      <xdr:row>50</xdr:row>
      <xdr:rowOff>83653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52F49C2-FA66-5325-39AF-4BD92457D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26</xdr:row>
      <xdr:rowOff>138112</xdr:rowOff>
    </xdr:from>
    <xdr:to>
      <xdr:col>17</xdr:col>
      <xdr:colOff>561975</xdr:colOff>
      <xdr:row>40</xdr:row>
      <xdr:rowOff>61912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252AFD-7516-29AC-08BA-72F236F33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11</xdr:row>
      <xdr:rowOff>42862</xdr:rowOff>
    </xdr:from>
    <xdr:to>
      <xdr:col>17</xdr:col>
      <xdr:colOff>542925</xdr:colOff>
      <xdr:row>24</xdr:row>
      <xdr:rowOff>109537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C0FD1DB-020F-12DC-3926-44A3D923A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zoomScaleNormal="100" workbookViewId="0">
      <selection activeCell="K99" sqref="K99"/>
    </sheetView>
  </sheetViews>
  <sheetFormatPr defaultRowHeight="15" x14ac:dyDescent="0.25"/>
  <cols>
    <col min="2" max="2" width="10.140625" customWidth="1"/>
    <col min="3" max="3" width="11.140625" customWidth="1"/>
    <col min="5" max="5" width="10.5703125" customWidth="1"/>
    <col min="6" max="6" width="10.140625" customWidth="1"/>
    <col min="7" max="7" width="13.5703125" customWidth="1"/>
    <col min="8" max="8" width="12" customWidth="1"/>
  </cols>
  <sheetData>
    <row r="1" spans="1:9" x14ac:dyDescent="0.25">
      <c r="A1">
        <f>1-0.03</f>
        <v>0.97</v>
      </c>
      <c r="B1">
        <f>A1^3</f>
        <v>0.91267299999999996</v>
      </c>
    </row>
    <row r="2" spans="1:9" x14ac:dyDescent="0.25">
      <c r="F2">
        <f>0.03^3</f>
        <v>2.6999999999999999E-5</v>
      </c>
    </row>
    <row r="3" spans="1:9" x14ac:dyDescent="0.25">
      <c r="B3">
        <f>COMBIN(3,2)</f>
        <v>3</v>
      </c>
      <c r="C3">
        <f>B3*(0.03^2)*(0.97^1)</f>
        <v>2.6190000000000002E-3</v>
      </c>
      <c r="H3" t="s">
        <v>0</v>
      </c>
      <c r="I3" t="s">
        <v>1</v>
      </c>
    </row>
    <row r="4" spans="1:9" x14ac:dyDescent="0.25">
      <c r="H4">
        <v>0</v>
      </c>
      <c r="I4">
        <v>0.91300000000000003</v>
      </c>
    </row>
    <row r="5" spans="1:9" x14ac:dyDescent="0.25">
      <c r="C5" t="s">
        <v>0</v>
      </c>
      <c r="D5" t="s">
        <v>1</v>
      </c>
      <c r="H5">
        <v>1</v>
      </c>
      <c r="I5">
        <v>8.5000000000000006E-2</v>
      </c>
    </row>
    <row r="6" spans="1:9" ht="18.75" x14ac:dyDescent="0.3">
      <c r="C6">
        <v>0</v>
      </c>
      <c r="D6" s="1">
        <v>0.91267299999999996</v>
      </c>
      <c r="H6">
        <v>2</v>
      </c>
      <c r="I6">
        <v>3.0000000000000001E-3</v>
      </c>
    </row>
    <row r="7" spans="1:9" ht="18.75" x14ac:dyDescent="0.3">
      <c r="C7">
        <v>1</v>
      </c>
      <c r="D7" s="1">
        <v>8.4681000000000006E-2</v>
      </c>
      <c r="H7">
        <v>3</v>
      </c>
      <c r="I7">
        <v>2.6999999999999999E-5</v>
      </c>
    </row>
    <row r="8" spans="1:9" ht="18.75" x14ac:dyDescent="0.3">
      <c r="C8">
        <v>2</v>
      </c>
      <c r="D8" s="1">
        <v>2.6189999999999998E-3</v>
      </c>
    </row>
    <row r="9" spans="1:9" ht="18.75" x14ac:dyDescent="0.3">
      <c r="C9">
        <v>3</v>
      </c>
      <c r="D9" s="1">
        <v>2.6999999999999999E-5</v>
      </c>
    </row>
    <row r="13" spans="1:9" x14ac:dyDescent="0.25">
      <c r="B13" s="8" t="s">
        <v>0</v>
      </c>
      <c r="C13" s="8" t="s">
        <v>2</v>
      </c>
      <c r="D13" s="8" t="s">
        <v>3</v>
      </c>
      <c r="E13" s="8" t="s">
        <v>4</v>
      </c>
      <c r="F13" s="8" t="s">
        <v>5</v>
      </c>
      <c r="G13" s="8" t="s">
        <v>6</v>
      </c>
      <c r="H13" s="8" t="s">
        <v>7</v>
      </c>
    </row>
    <row r="14" spans="1:9" x14ac:dyDescent="0.25">
      <c r="B14" s="6">
        <v>0</v>
      </c>
      <c r="C14" s="7">
        <v>0.91267299999999996</v>
      </c>
      <c r="D14" s="7">
        <v>0.09</v>
      </c>
      <c r="E14" s="6">
        <f>((B14-D14)^3)*C14</f>
        <v>-6.6533861699999994E-4</v>
      </c>
      <c r="F14" s="6">
        <f>((B14-D14)^4)*C14</f>
        <v>5.9880475529999989E-5</v>
      </c>
      <c r="G14" s="10">
        <f>SUM(E14:E17)</f>
        <v>8.206200000000001E-2</v>
      </c>
      <c r="H14" s="10">
        <f>SUM(F14:F17)</f>
        <v>9.4921290000000005E-2</v>
      </c>
    </row>
    <row r="15" spans="1:9" x14ac:dyDescent="0.25">
      <c r="B15" s="6">
        <v>1</v>
      </c>
      <c r="C15" s="7">
        <v>8.4681000000000006E-2</v>
      </c>
      <c r="D15" s="7">
        <v>0.09</v>
      </c>
      <c r="E15" s="6">
        <f t="shared" ref="E15:E17" si="0">((B15-D15)^3)*C15</f>
        <v>6.3813145851000008E-2</v>
      </c>
      <c r="F15" s="9">
        <f t="shared" ref="F15:F17" si="1">((B15-D15)^4)*C15</f>
        <v>5.8069962724410014E-2</v>
      </c>
      <c r="G15" s="11"/>
      <c r="H15" s="12"/>
    </row>
    <row r="16" spans="1:9" x14ac:dyDescent="0.25">
      <c r="B16" s="6">
        <v>2</v>
      </c>
      <c r="C16" s="7">
        <v>2.6189999999999998E-3</v>
      </c>
      <c r="D16" s="7">
        <v>0.09</v>
      </c>
      <c r="E16" s="6">
        <f t="shared" si="0"/>
        <v>1.8248854148999998E-2</v>
      </c>
      <c r="F16" s="9">
        <f t="shared" si="1"/>
        <v>3.4855311424589995E-2</v>
      </c>
      <c r="G16" s="2"/>
      <c r="H16" s="3"/>
    </row>
    <row r="17" spans="1:16" x14ac:dyDescent="0.25">
      <c r="B17" s="6">
        <v>3</v>
      </c>
      <c r="C17" s="7">
        <v>2.6999999999999999E-5</v>
      </c>
      <c r="D17" s="7">
        <v>0.09</v>
      </c>
      <c r="E17" s="6">
        <f t="shared" si="0"/>
        <v>6.6533861700000016E-4</v>
      </c>
      <c r="F17" s="9">
        <f t="shared" si="1"/>
        <v>1.9361353754700004E-3</v>
      </c>
      <c r="G17" s="4"/>
      <c r="H17" s="5"/>
    </row>
    <row r="20" spans="1:16" x14ac:dyDescent="0.25">
      <c r="O20" t="s">
        <v>0</v>
      </c>
      <c r="P20" t="s">
        <v>1</v>
      </c>
    </row>
    <row r="21" spans="1:16" x14ac:dyDescent="0.25">
      <c r="O21" t="s">
        <v>8</v>
      </c>
      <c r="P21">
        <v>0</v>
      </c>
    </row>
    <row r="22" spans="1:16" x14ac:dyDescent="0.25">
      <c r="B22" s="6" t="s">
        <v>0</v>
      </c>
      <c r="C22" s="6" t="s">
        <v>2</v>
      </c>
      <c r="O22" t="s">
        <v>10</v>
      </c>
      <c r="P22">
        <v>0.91267299999999996</v>
      </c>
    </row>
    <row r="23" spans="1:16" x14ac:dyDescent="0.25">
      <c r="B23" s="6">
        <v>0</v>
      </c>
      <c r="C23" s="7">
        <v>0.91267299999999996</v>
      </c>
      <c r="O23" t="s">
        <v>11</v>
      </c>
      <c r="P23">
        <v>0.99735399999999996</v>
      </c>
    </row>
    <row r="24" spans="1:16" x14ac:dyDescent="0.25">
      <c r="B24" s="6">
        <v>1</v>
      </c>
      <c r="C24" s="7">
        <v>8.4681000000000006E-2</v>
      </c>
      <c r="O24" t="s">
        <v>12</v>
      </c>
      <c r="P24">
        <v>0.999973</v>
      </c>
    </row>
    <row r="25" spans="1:16" x14ac:dyDescent="0.25">
      <c r="B25" s="6">
        <v>2</v>
      </c>
      <c r="C25" s="7">
        <v>2.6189999999999998E-3</v>
      </c>
      <c r="O25" t="s">
        <v>9</v>
      </c>
      <c r="P25">
        <v>1</v>
      </c>
    </row>
    <row r="26" spans="1:16" x14ac:dyDescent="0.25">
      <c r="B26" s="6">
        <v>3</v>
      </c>
      <c r="C26" s="7">
        <v>2.6999999999999999E-5</v>
      </c>
    </row>
    <row r="29" spans="1:16" x14ac:dyDescent="0.25">
      <c r="A29" t="s">
        <v>13</v>
      </c>
      <c r="B29" t="s">
        <v>0</v>
      </c>
      <c r="C29" t="s">
        <v>1</v>
      </c>
    </row>
    <row r="30" spans="1:16" x14ac:dyDescent="0.25">
      <c r="B30">
        <v>0</v>
      </c>
      <c r="C30">
        <v>0</v>
      </c>
    </row>
    <row r="31" spans="1:16" x14ac:dyDescent="0.25">
      <c r="B31">
        <v>-0.9</v>
      </c>
      <c r="C31">
        <v>0</v>
      </c>
    </row>
    <row r="32" spans="1:16" x14ac:dyDescent="0.25">
      <c r="B32">
        <v>-0.8</v>
      </c>
      <c r="C32">
        <v>0</v>
      </c>
    </row>
    <row r="33" spans="1:3" x14ac:dyDescent="0.25">
      <c r="B33">
        <v>-0.7</v>
      </c>
      <c r="C33">
        <v>0</v>
      </c>
    </row>
    <row r="34" spans="1:3" x14ac:dyDescent="0.25">
      <c r="B34">
        <v>-0.6</v>
      </c>
      <c r="C34">
        <v>0</v>
      </c>
    </row>
    <row r="36" spans="1:3" x14ac:dyDescent="0.25">
      <c r="A36" t="s">
        <v>14</v>
      </c>
      <c r="B36" t="s">
        <v>0</v>
      </c>
      <c r="C36" t="s">
        <v>1</v>
      </c>
    </row>
    <row r="37" spans="1:3" x14ac:dyDescent="0.25">
      <c r="B37">
        <v>0.1</v>
      </c>
      <c r="C37">
        <v>0.91267299999999996</v>
      </c>
    </row>
    <row r="38" spans="1:3" x14ac:dyDescent="0.25">
      <c r="B38">
        <v>0.2</v>
      </c>
      <c r="C38">
        <v>0.91267299999999996</v>
      </c>
    </row>
    <row r="39" spans="1:3" x14ac:dyDescent="0.25">
      <c r="B39">
        <v>0.3</v>
      </c>
      <c r="C39">
        <v>0.91267299999999996</v>
      </c>
    </row>
    <row r="40" spans="1:3" x14ac:dyDescent="0.25">
      <c r="B40">
        <v>0.4</v>
      </c>
      <c r="C40">
        <v>0.91267299999999996</v>
      </c>
    </row>
    <row r="41" spans="1:3" x14ac:dyDescent="0.25">
      <c r="B41">
        <v>0.5</v>
      </c>
      <c r="C41">
        <v>0.91267299999999996</v>
      </c>
    </row>
    <row r="42" spans="1:3" x14ac:dyDescent="0.25">
      <c r="B42">
        <v>0.6</v>
      </c>
      <c r="C42">
        <v>0.91267299999999996</v>
      </c>
    </row>
    <row r="43" spans="1:3" x14ac:dyDescent="0.25">
      <c r="B43">
        <v>0.7</v>
      </c>
      <c r="C43">
        <v>0.91267299999999996</v>
      </c>
    </row>
    <row r="44" spans="1:3" x14ac:dyDescent="0.25">
      <c r="B44">
        <v>0.8</v>
      </c>
      <c r="C44">
        <v>0.91267299999999996</v>
      </c>
    </row>
    <row r="45" spans="1:3" x14ac:dyDescent="0.25">
      <c r="B45">
        <v>0.9</v>
      </c>
      <c r="C45">
        <v>0.91267299999999996</v>
      </c>
    </row>
    <row r="46" spans="1:3" x14ac:dyDescent="0.25">
      <c r="B46">
        <v>1</v>
      </c>
      <c r="C46">
        <v>0.91267299999999996</v>
      </c>
    </row>
    <row r="48" spans="1:3" x14ac:dyDescent="0.25">
      <c r="A48" t="s">
        <v>15</v>
      </c>
      <c r="B48" t="s">
        <v>0</v>
      </c>
      <c r="C48" t="s">
        <v>1</v>
      </c>
    </row>
    <row r="49" spans="1:3" x14ac:dyDescent="0.25">
      <c r="B49">
        <v>1.1000000000000001</v>
      </c>
      <c r="C49" s="13">
        <v>0.99735399999999996</v>
      </c>
    </row>
    <row r="50" spans="1:3" x14ac:dyDescent="0.25">
      <c r="B50">
        <v>1.2</v>
      </c>
      <c r="C50" s="13">
        <v>0.99735399999999996</v>
      </c>
    </row>
    <row r="51" spans="1:3" x14ac:dyDescent="0.25">
      <c r="B51">
        <v>1.3</v>
      </c>
      <c r="C51" s="13">
        <v>0.99735399999999996</v>
      </c>
    </row>
    <row r="52" spans="1:3" x14ac:dyDescent="0.25">
      <c r="B52">
        <v>1.4</v>
      </c>
      <c r="C52" s="13">
        <v>0.99735399999999996</v>
      </c>
    </row>
    <row r="53" spans="1:3" x14ac:dyDescent="0.25">
      <c r="B53">
        <v>1.5</v>
      </c>
      <c r="C53" s="13">
        <v>0.99735399999999996</v>
      </c>
    </row>
    <row r="54" spans="1:3" x14ac:dyDescent="0.25">
      <c r="B54">
        <v>1.6</v>
      </c>
      <c r="C54" s="13">
        <v>0.99735399999999996</v>
      </c>
    </row>
    <row r="55" spans="1:3" x14ac:dyDescent="0.25">
      <c r="B55">
        <v>1.7</v>
      </c>
      <c r="C55" s="13">
        <v>0.99735399999999996</v>
      </c>
    </row>
    <row r="56" spans="1:3" x14ac:dyDescent="0.25">
      <c r="B56">
        <v>1.8</v>
      </c>
      <c r="C56" s="13">
        <v>0.99735399999999996</v>
      </c>
    </row>
    <row r="57" spans="1:3" x14ac:dyDescent="0.25">
      <c r="B57">
        <v>1.9</v>
      </c>
      <c r="C57" s="13">
        <v>0.99735399999999996</v>
      </c>
    </row>
    <row r="58" spans="1:3" x14ac:dyDescent="0.25">
      <c r="B58">
        <v>2</v>
      </c>
      <c r="C58" s="13">
        <v>0.99735399999999996</v>
      </c>
    </row>
    <row r="60" spans="1:3" x14ac:dyDescent="0.25">
      <c r="A60" t="s">
        <v>16</v>
      </c>
      <c r="B60" t="s">
        <v>0</v>
      </c>
      <c r="C60" t="s">
        <v>1</v>
      </c>
    </row>
    <row r="61" spans="1:3" x14ac:dyDescent="0.25">
      <c r="B61">
        <v>2.1</v>
      </c>
      <c r="C61">
        <v>0.999973</v>
      </c>
    </row>
    <row r="62" spans="1:3" x14ac:dyDescent="0.25">
      <c r="B62">
        <v>2.2000000000000002</v>
      </c>
      <c r="C62">
        <v>0.999973</v>
      </c>
    </row>
    <row r="63" spans="1:3" x14ac:dyDescent="0.25">
      <c r="B63">
        <v>2.2999999999999998</v>
      </c>
      <c r="C63">
        <v>0.999973</v>
      </c>
    </row>
    <row r="64" spans="1:3" x14ac:dyDescent="0.25">
      <c r="B64">
        <v>2.4</v>
      </c>
      <c r="C64">
        <v>0.999973</v>
      </c>
    </row>
    <row r="65" spans="1:15" x14ac:dyDescent="0.25">
      <c r="B65">
        <v>2.5</v>
      </c>
      <c r="C65">
        <v>0.999973</v>
      </c>
    </row>
    <row r="66" spans="1:15" x14ac:dyDescent="0.25">
      <c r="B66">
        <v>2.6</v>
      </c>
      <c r="C66">
        <v>0.999973</v>
      </c>
    </row>
    <row r="67" spans="1:15" x14ac:dyDescent="0.25">
      <c r="B67">
        <v>2.7</v>
      </c>
      <c r="C67">
        <v>0.999973</v>
      </c>
    </row>
    <row r="68" spans="1:15" x14ac:dyDescent="0.25">
      <c r="B68">
        <v>2.8</v>
      </c>
      <c r="C68">
        <v>0.999973</v>
      </c>
    </row>
    <row r="69" spans="1:15" x14ac:dyDescent="0.25">
      <c r="B69">
        <v>2.9</v>
      </c>
      <c r="C69">
        <v>0.999973</v>
      </c>
    </row>
    <row r="70" spans="1:15" x14ac:dyDescent="0.25">
      <c r="B70">
        <v>3</v>
      </c>
      <c r="C70">
        <v>0.999973</v>
      </c>
    </row>
    <row r="72" spans="1:15" x14ac:dyDescent="0.25">
      <c r="A72" t="s">
        <v>17</v>
      </c>
      <c r="B72" t="s">
        <v>0</v>
      </c>
      <c r="C72" t="s">
        <v>1</v>
      </c>
    </row>
    <row r="73" spans="1:15" x14ac:dyDescent="0.25">
      <c r="B73">
        <v>3.1</v>
      </c>
      <c r="C73">
        <v>1</v>
      </c>
    </row>
    <row r="74" spans="1:15" x14ac:dyDescent="0.25">
      <c r="B74">
        <v>3.2</v>
      </c>
      <c r="C74">
        <v>1</v>
      </c>
    </row>
    <row r="75" spans="1:15" x14ac:dyDescent="0.25">
      <c r="B75">
        <v>3.3</v>
      </c>
      <c r="C75">
        <v>1</v>
      </c>
    </row>
    <row r="76" spans="1:15" x14ac:dyDescent="0.25">
      <c r="B76">
        <v>3.4</v>
      </c>
      <c r="C76">
        <v>1</v>
      </c>
    </row>
    <row r="77" spans="1:15" x14ac:dyDescent="0.25">
      <c r="B77">
        <v>3.5</v>
      </c>
      <c r="C77">
        <v>1</v>
      </c>
    </row>
    <row r="78" spans="1:15" x14ac:dyDescent="0.25">
      <c r="E78" s="163" t="s">
        <v>22</v>
      </c>
      <c r="F78" s="164"/>
      <c r="G78" s="164"/>
      <c r="H78" s="165"/>
      <c r="L78" s="6" t="s">
        <v>0</v>
      </c>
      <c r="M78" s="6">
        <v>0</v>
      </c>
      <c r="N78" s="6">
        <v>2</v>
      </c>
      <c r="O78" s="6">
        <v>13</v>
      </c>
    </row>
    <row r="79" spans="1:15" x14ac:dyDescent="0.25">
      <c r="E79" s="15" t="s">
        <v>18</v>
      </c>
      <c r="F79" s="15" t="s">
        <v>20</v>
      </c>
      <c r="G79" s="17" t="s">
        <v>21</v>
      </c>
      <c r="H79" s="15" t="s">
        <v>19</v>
      </c>
      <c r="L79" s="6" t="s">
        <v>2</v>
      </c>
      <c r="M79" s="6">
        <v>0.54</v>
      </c>
      <c r="N79" s="6">
        <v>0.14000000000000001</v>
      </c>
      <c r="O79" s="6">
        <v>0.32</v>
      </c>
    </row>
    <row r="80" spans="1:15" x14ac:dyDescent="0.25">
      <c r="B80" s="16" t="s">
        <v>0</v>
      </c>
      <c r="C80" s="16" t="s">
        <v>2</v>
      </c>
      <c r="E80" s="6">
        <v>5</v>
      </c>
      <c r="F80" s="6">
        <f>32*0.87</f>
        <v>27.84</v>
      </c>
      <c r="G80" s="6">
        <v>28</v>
      </c>
      <c r="H80" s="14">
        <f>SUM(C109:C113)</f>
        <v>0.11035919143946833</v>
      </c>
    </row>
    <row r="81" spans="2:21" x14ac:dyDescent="0.25">
      <c r="B81" s="6">
        <v>0</v>
      </c>
      <c r="C81" s="6">
        <f>_xlfn.BINOM.DIST(B81,32,0.77,0)</f>
        <v>3.7608910510519062E-21</v>
      </c>
      <c r="E81" s="6">
        <v>4</v>
      </c>
      <c r="F81" s="6">
        <f>32*0.73</f>
        <v>23.36</v>
      </c>
      <c r="G81" s="6">
        <v>23</v>
      </c>
      <c r="H81" s="14">
        <f>SUM(C104:C108)</f>
        <v>0.70750737899034111</v>
      </c>
      <c r="L81" s="6" t="s">
        <v>23</v>
      </c>
      <c r="M81" s="6">
        <f>((M78^2)*M79+(N78^2)*N79+(O78^2)*O79)-(4.44)^2</f>
        <v>34.926400000000001</v>
      </c>
    </row>
    <row r="82" spans="2:21" x14ac:dyDescent="0.25">
      <c r="B82" s="6">
        <v>1</v>
      </c>
      <c r="C82" s="6">
        <f t="shared" ref="C82:C113" si="2">_xlfn.BINOM.DIST(B82,32,0.77,0)</f>
        <v>4.0290589346921448E-19</v>
      </c>
      <c r="E82" s="6">
        <v>3</v>
      </c>
      <c r="F82" s="6">
        <f>32*0.6</f>
        <v>19.2</v>
      </c>
      <c r="G82" s="6">
        <v>19</v>
      </c>
      <c r="H82" s="14">
        <f>SUM(C100:C103)</f>
        <v>0.17464039598659853</v>
      </c>
    </row>
    <row r="83" spans="2:21" x14ac:dyDescent="0.25">
      <c r="B83" s="6">
        <v>2</v>
      </c>
      <c r="C83" s="6">
        <f t="shared" si="2"/>
        <v>2.0907312341543621E-17</v>
      </c>
      <c r="E83" s="6">
        <v>2</v>
      </c>
      <c r="F83" s="6">
        <f>32*0</f>
        <v>0</v>
      </c>
      <c r="G83" s="6">
        <v>0</v>
      </c>
      <c r="H83" s="14">
        <f>SUM(C81:C99)</f>
        <v>7.4930335835918776E-3</v>
      </c>
      <c r="L83" s="6" t="s">
        <v>1</v>
      </c>
      <c r="M83" s="6">
        <v>4</v>
      </c>
      <c r="N83" s="6">
        <v>6</v>
      </c>
      <c r="O83" s="6">
        <v>7</v>
      </c>
      <c r="P83" s="6">
        <v>9</v>
      </c>
    </row>
    <row r="84" spans="2:21" x14ac:dyDescent="0.25">
      <c r="B84" s="6">
        <v>3</v>
      </c>
      <c r="C84" s="6">
        <f t="shared" si="2"/>
        <v>6.9994045665168157E-16</v>
      </c>
      <c r="E84" s="18"/>
      <c r="F84" s="18"/>
      <c r="L84" s="6" t="s">
        <v>2</v>
      </c>
      <c r="M84" s="6">
        <v>0.28000000000000003</v>
      </c>
      <c r="N84" s="6">
        <v>0.35</v>
      </c>
      <c r="O84" s="6">
        <v>0.23</v>
      </c>
      <c r="P84" s="6">
        <v>0.14000000000000001</v>
      </c>
    </row>
    <row r="85" spans="2:21" x14ac:dyDescent="0.25">
      <c r="B85" s="6">
        <v>4</v>
      </c>
      <c r="C85" s="6">
        <f t="shared" si="2"/>
        <v>1.6988772170686937E-14</v>
      </c>
      <c r="F85" s="19"/>
    </row>
    <row r="86" spans="2:21" x14ac:dyDescent="0.25">
      <c r="B86" s="6">
        <v>5</v>
      </c>
      <c r="C86" s="6">
        <f t="shared" si="2"/>
        <v>3.1850254608696664E-13</v>
      </c>
      <c r="F86" s="19"/>
      <c r="L86" s="6" t="s">
        <v>24</v>
      </c>
      <c r="M86" s="6">
        <f>((M83^2)*M84+(N83^2)*N84+(O83^2)*O84+(P83^2)*P84)-(6.09^2)</f>
        <v>2.6019000000000077</v>
      </c>
    </row>
    <row r="87" spans="2:21" x14ac:dyDescent="0.25">
      <c r="B87" s="6">
        <v>6</v>
      </c>
      <c r="C87" s="6">
        <f t="shared" si="2"/>
        <v>4.7983100964840834E-12</v>
      </c>
      <c r="F87" s="19"/>
    </row>
    <row r="88" spans="2:21" x14ac:dyDescent="0.25">
      <c r="B88" s="6">
        <v>7</v>
      </c>
      <c r="C88" s="6">
        <f t="shared" si="2"/>
        <v>5.9665942938889024E-11</v>
      </c>
    </row>
    <row r="89" spans="2:21" x14ac:dyDescent="0.25">
      <c r="B89" s="6">
        <v>8</v>
      </c>
      <c r="C89" s="6">
        <f t="shared" si="2"/>
        <v>6.2422250085522298E-10</v>
      </c>
      <c r="L89" s="166" t="s">
        <v>25</v>
      </c>
      <c r="M89" s="6">
        <v>0</v>
      </c>
      <c r="N89" s="6">
        <v>8</v>
      </c>
      <c r="O89" s="6">
        <v>12</v>
      </c>
      <c r="P89" s="6">
        <v>14</v>
      </c>
      <c r="Q89" s="6">
        <v>18</v>
      </c>
      <c r="R89" s="6">
        <v>52</v>
      </c>
      <c r="S89" s="6">
        <v>78</v>
      </c>
      <c r="T89" s="6">
        <v>91</v>
      </c>
      <c r="U89" s="6">
        <v>117</v>
      </c>
    </row>
    <row r="90" spans="2:21" x14ac:dyDescent="0.25">
      <c r="B90" s="6">
        <v>9</v>
      </c>
      <c r="C90" s="6">
        <f t="shared" si="2"/>
        <v>5.5727689931422894E-9</v>
      </c>
      <c r="L90" s="166"/>
      <c r="M90" s="6">
        <v>0.54</v>
      </c>
      <c r="N90" s="6">
        <v>0.03</v>
      </c>
      <c r="O90" s="6">
        <v>0.05</v>
      </c>
      <c r="P90" s="6">
        <v>0.02</v>
      </c>
      <c r="Q90" s="6">
        <v>0.04</v>
      </c>
      <c r="R90" s="6">
        <v>0.1</v>
      </c>
      <c r="S90" s="6">
        <v>0.1</v>
      </c>
      <c r="T90" s="6">
        <v>0.08</v>
      </c>
      <c r="U90" s="6">
        <v>0.04</v>
      </c>
    </row>
    <row r="91" spans="2:21" x14ac:dyDescent="0.25">
      <c r="B91" s="6">
        <v>10</v>
      </c>
      <c r="C91" s="6">
        <f t="shared" si="2"/>
        <v>4.2910321247195711E-8</v>
      </c>
    </row>
    <row r="92" spans="2:21" x14ac:dyDescent="0.25">
      <c r="B92" s="6">
        <v>11</v>
      </c>
      <c r="C92" s="6">
        <f t="shared" si="2"/>
        <v>2.8731258574209272E-7</v>
      </c>
      <c r="L92" s="6" t="s">
        <v>26</v>
      </c>
      <c r="M92" s="6">
        <f>M89*M90+N89*N90+O89*O90+P89*P90+Q89*Q90+R89*R90+S89*S90+T89*T90+U89*U90</f>
        <v>26.8</v>
      </c>
    </row>
    <row r="93" spans="2:21" x14ac:dyDescent="0.25">
      <c r="B93" s="6">
        <v>12</v>
      </c>
      <c r="C93" s="6">
        <f t="shared" si="2"/>
        <v>1.683276996902049E-6</v>
      </c>
      <c r="L93" s="6" t="s">
        <v>27</v>
      </c>
      <c r="M93" s="6">
        <f>M92-4.44*6.09</f>
        <v>-0.23959999999999937</v>
      </c>
    </row>
    <row r="94" spans="2:21" x14ac:dyDescent="0.25">
      <c r="B94" s="6">
        <v>13</v>
      </c>
      <c r="C94" s="6">
        <f t="shared" si="2"/>
        <v>8.6697209873884385E-6</v>
      </c>
    </row>
    <row r="95" spans="2:21" x14ac:dyDescent="0.25">
      <c r="B95" s="6">
        <v>14</v>
      </c>
      <c r="C95" s="6">
        <f t="shared" si="2"/>
        <v>3.9390688834004262E-5</v>
      </c>
    </row>
    <row r="96" spans="2:21" x14ac:dyDescent="0.25">
      <c r="B96" s="6">
        <v>15</v>
      </c>
      <c r="C96" s="6">
        <f t="shared" si="2"/>
        <v>1.5824781079399911E-4</v>
      </c>
    </row>
    <row r="97" spans="2:11" x14ac:dyDescent="0.25">
      <c r="B97" s="6">
        <v>16</v>
      </c>
      <c r="C97" s="6">
        <f t="shared" si="2"/>
        <v>5.6289778350365283E-4</v>
      </c>
    </row>
    <row r="98" spans="2:11" x14ac:dyDescent="0.25">
      <c r="B98" s="6">
        <v>17</v>
      </c>
      <c r="C98" s="6">
        <f t="shared" si="2"/>
        <v>1.773631890732742E-3</v>
      </c>
      <c r="H98" s="20"/>
      <c r="I98" s="5"/>
      <c r="J98" s="168" t="s">
        <v>29</v>
      </c>
      <c r="K98" s="166"/>
    </row>
    <row r="99" spans="2:11" ht="15.75" x14ac:dyDescent="0.25">
      <c r="B99" s="6">
        <v>18</v>
      </c>
      <c r="C99" s="6">
        <f t="shared" si="2"/>
        <v>4.94817592704424E-3</v>
      </c>
      <c r="H99" s="167" t="s">
        <v>28</v>
      </c>
      <c r="I99" s="167"/>
      <c r="J99" s="6">
        <f>_xlfn.NORM.INV(0.065,2,0.5)</f>
        <v>1.2429490561903584</v>
      </c>
      <c r="K99" s="6">
        <f>_xlfn.NORM.INV(0.935,2,0.5)</f>
        <v>2.7570509438096424</v>
      </c>
    </row>
    <row r="100" spans="2:11" x14ac:dyDescent="0.25">
      <c r="B100" s="6">
        <v>19</v>
      </c>
      <c r="C100" s="6">
        <f t="shared" si="2"/>
        <v>1.2206255490511875E-2</v>
      </c>
    </row>
    <row r="101" spans="2:11" x14ac:dyDescent="0.25">
      <c r="B101" s="6">
        <v>20</v>
      </c>
      <c r="C101" s="6">
        <f t="shared" si="2"/>
        <v>2.6561873360874757E-2</v>
      </c>
    </row>
    <row r="102" spans="2:11" x14ac:dyDescent="0.25">
      <c r="B102" s="6">
        <v>21</v>
      </c>
      <c r="C102" s="6">
        <f t="shared" si="2"/>
        <v>5.0814018603412565E-2</v>
      </c>
    </row>
    <row r="103" spans="2:11" x14ac:dyDescent="0.25">
      <c r="B103" s="6">
        <v>22</v>
      </c>
      <c r="C103" s="6">
        <f t="shared" si="2"/>
        <v>8.5058248531799344E-2</v>
      </c>
    </row>
    <row r="104" spans="2:11" x14ac:dyDescent="0.25">
      <c r="B104" s="6">
        <v>23</v>
      </c>
      <c r="C104" s="6">
        <f t="shared" si="2"/>
        <v>0.12380879275895187</v>
      </c>
    </row>
    <row r="105" spans="2:11" x14ac:dyDescent="0.25">
      <c r="B105" s="6">
        <v>24</v>
      </c>
      <c r="C105" s="6">
        <f t="shared" si="2"/>
        <v>0.15543386482237975</v>
      </c>
    </row>
    <row r="106" spans="2:11" x14ac:dyDescent="0.25">
      <c r="B106" s="6">
        <v>25</v>
      </c>
      <c r="C106" s="6">
        <f t="shared" si="2"/>
        <v>0.16651697518362774</v>
      </c>
    </row>
    <row r="107" spans="2:11" x14ac:dyDescent="0.25">
      <c r="B107" s="6">
        <v>26</v>
      </c>
      <c r="C107" s="6">
        <f t="shared" si="2"/>
        <v>0.15008804284945715</v>
      </c>
    </row>
    <row r="108" spans="2:11" x14ac:dyDescent="0.25">
      <c r="B108" s="6">
        <v>27</v>
      </c>
      <c r="C108" s="6">
        <f t="shared" si="2"/>
        <v>0.11165970337592465</v>
      </c>
    </row>
    <row r="109" spans="2:11" x14ac:dyDescent="0.25">
      <c r="B109" s="6">
        <v>28</v>
      </c>
      <c r="C109" s="6">
        <f t="shared" si="2"/>
        <v>6.6753083539954947E-2</v>
      </c>
    </row>
    <row r="110" spans="2:11" x14ac:dyDescent="0.25">
      <c r="B110" s="6">
        <v>29</v>
      </c>
      <c r="C110" s="6">
        <f t="shared" si="2"/>
        <v>3.0824512339289532E-2</v>
      </c>
    </row>
    <row r="111" spans="2:11" x14ac:dyDescent="0.25">
      <c r="B111" s="6">
        <v>30</v>
      </c>
      <c r="C111" s="6">
        <f t="shared" si="2"/>
        <v>1.0319510652718675E-2</v>
      </c>
    </row>
    <row r="112" spans="2:11" x14ac:dyDescent="0.25">
      <c r="B112" s="6">
        <v>31</v>
      </c>
      <c r="C112" s="6">
        <f t="shared" si="2"/>
        <v>2.2288985140514373E-3</v>
      </c>
    </row>
    <row r="113" spans="2:3" x14ac:dyDescent="0.25">
      <c r="B113" s="6">
        <v>32</v>
      </c>
      <c r="C113" s="6">
        <f t="shared" si="2"/>
        <v>2.3318639345375102E-4</v>
      </c>
    </row>
  </sheetData>
  <mergeCells count="4">
    <mergeCell ref="E78:H78"/>
    <mergeCell ref="L89:L90"/>
    <mergeCell ref="H99:I99"/>
    <mergeCell ref="J98:K9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opLeftCell="F52" zoomScaleNormal="100" workbookViewId="0">
      <selection activeCell="K78" sqref="K78"/>
    </sheetView>
  </sheetViews>
  <sheetFormatPr defaultRowHeight="15" x14ac:dyDescent="0.25"/>
  <cols>
    <col min="2" max="2" width="12" customWidth="1"/>
    <col min="5" max="5" width="9.7109375" customWidth="1"/>
    <col min="6" max="6" width="11.28515625" customWidth="1"/>
    <col min="8" max="8" width="9.5703125" customWidth="1"/>
    <col min="10" max="10" width="10" customWidth="1"/>
    <col min="11" max="11" width="9.5703125" customWidth="1"/>
    <col min="12" max="12" width="14.28515625" customWidth="1"/>
    <col min="13" max="13" width="10" customWidth="1"/>
    <col min="15" max="16" width="8.140625" customWidth="1"/>
    <col min="17" max="17" width="9.85546875" customWidth="1"/>
    <col min="18" max="18" width="9.140625" customWidth="1"/>
    <col min="19" max="19" width="17" customWidth="1"/>
  </cols>
  <sheetData>
    <row r="1" spans="1:20" ht="18.75" x14ac:dyDescent="0.3">
      <c r="A1">
        <f>ABS(B1-$J$66)</f>
        <v>0.86828571428571877</v>
      </c>
      <c r="B1" s="21">
        <v>58.171799999999998</v>
      </c>
      <c r="D1" s="24" t="s">
        <v>30</v>
      </c>
      <c r="E1" s="26">
        <f>MIN(B1:B63)</f>
        <v>55.671700000000001</v>
      </c>
      <c r="H1" s="36" t="s">
        <v>37</v>
      </c>
      <c r="I1" s="226" t="s">
        <v>37</v>
      </c>
      <c r="J1" s="226" t="s">
        <v>36</v>
      </c>
      <c r="L1" s="36" t="s">
        <v>41</v>
      </c>
      <c r="M1" s="43" t="s">
        <v>40</v>
      </c>
      <c r="N1" s="47" t="s">
        <v>36</v>
      </c>
      <c r="O1" s="48" t="s">
        <v>46</v>
      </c>
      <c r="P1" s="49">
        <v>63</v>
      </c>
      <c r="Q1" s="175" t="s">
        <v>42</v>
      </c>
      <c r="R1" s="176"/>
      <c r="S1" s="177"/>
      <c r="T1" s="21"/>
    </row>
    <row r="2" spans="1:20" ht="19.5" thickBot="1" x14ac:dyDescent="0.35">
      <c r="A2">
        <f>ABS(B2-$J$66)</f>
        <v>1.0229857142857171</v>
      </c>
      <c r="B2" s="21">
        <v>58.017099999999999</v>
      </c>
      <c r="D2" s="25" t="s">
        <v>31</v>
      </c>
      <c r="E2" s="27">
        <f>MAX(B1:B63) + 0.0001</f>
        <v>64.062700000000007</v>
      </c>
      <c r="H2" s="86">
        <v>56.720575000000004</v>
      </c>
      <c r="I2" s="223">
        <v>56.720575000000004</v>
      </c>
      <c r="J2" s="224">
        <v>12</v>
      </c>
      <c r="L2" s="41">
        <f>(D9+E9)/2</f>
        <v>56.196137500000006</v>
      </c>
      <c r="M2" s="40">
        <f>L2</f>
        <v>56.196137500000006</v>
      </c>
      <c r="N2" s="224">
        <v>12</v>
      </c>
      <c r="Q2" s="50" t="s">
        <v>43</v>
      </c>
      <c r="R2" s="8" t="s">
        <v>44</v>
      </c>
      <c r="S2" s="51" t="s">
        <v>45</v>
      </c>
    </row>
    <row r="3" spans="1:20" ht="16.5" thickBot="1" x14ac:dyDescent="0.3">
      <c r="A3">
        <f>ABS(B3-$J$66)</f>
        <v>1.2699857142857169</v>
      </c>
      <c r="B3" s="21">
        <v>57.770099999999999</v>
      </c>
      <c r="H3" s="86">
        <v>57.769450000000006</v>
      </c>
      <c r="I3" s="223">
        <v>57.769450000000006</v>
      </c>
      <c r="J3" s="224">
        <v>22</v>
      </c>
      <c r="L3" s="41">
        <f t="shared" ref="L3:L9" si="0">(D10+E10)/2</f>
        <v>57.245012500000001</v>
      </c>
      <c r="M3" s="40">
        <f>M2+F6</f>
        <v>57.245012500000009</v>
      </c>
      <c r="N3" s="224">
        <v>22</v>
      </c>
      <c r="Q3" s="45">
        <f>M2</f>
        <v>56.196137500000006</v>
      </c>
      <c r="R3" s="224">
        <v>12</v>
      </c>
      <c r="S3" s="28">
        <f t="shared" ref="S3:S10" si="1">R3/$P$1/$F$6</f>
        <v>0.18160046762120399</v>
      </c>
    </row>
    <row r="4" spans="1:20" ht="15.75" x14ac:dyDescent="0.25">
      <c r="A4">
        <f>ABS(B4-$J$66)</f>
        <v>1.4501857142857162</v>
      </c>
      <c r="B4" s="21">
        <v>57.5899</v>
      </c>
      <c r="D4" s="169" t="s">
        <v>32</v>
      </c>
      <c r="E4" s="170"/>
      <c r="F4" s="26">
        <f>E2-E1</f>
        <v>8.3910000000000053</v>
      </c>
      <c r="H4" s="86">
        <v>58.818325000000009</v>
      </c>
      <c r="I4" s="223">
        <v>58.818325000000009</v>
      </c>
      <c r="J4" s="224">
        <v>5</v>
      </c>
      <c r="L4" s="41">
        <f t="shared" si="0"/>
        <v>57.245012500000001</v>
      </c>
      <c r="M4" s="40">
        <f>M3+F6</f>
        <v>58.293887500000011</v>
      </c>
      <c r="N4" s="224">
        <v>5</v>
      </c>
      <c r="Q4" s="45">
        <f>M3</f>
        <v>57.245012500000009</v>
      </c>
      <c r="R4" s="224">
        <v>22</v>
      </c>
      <c r="S4" s="28">
        <f t="shared" si="1"/>
        <v>0.33293419063887397</v>
      </c>
    </row>
    <row r="5" spans="1:20" ht="15.75" x14ac:dyDescent="0.25">
      <c r="A5">
        <f>ABS(B5-$J$66)</f>
        <v>2.4482857142857171</v>
      </c>
      <c r="B5" s="21">
        <v>56.591799999999999</v>
      </c>
      <c r="D5" s="182" t="s">
        <v>33</v>
      </c>
      <c r="E5" s="183"/>
      <c r="F5" s="29">
        <v>8</v>
      </c>
      <c r="H5" s="86">
        <v>59.867200000000011</v>
      </c>
      <c r="I5" s="223">
        <v>59.867200000000011</v>
      </c>
      <c r="J5" s="224">
        <v>0</v>
      </c>
      <c r="L5" s="41">
        <f t="shared" si="0"/>
        <v>58.293887500000011</v>
      </c>
      <c r="M5" s="40">
        <f>M4+F6</f>
        <v>59.342762500000013</v>
      </c>
      <c r="N5" s="224">
        <v>0</v>
      </c>
      <c r="Q5" s="45">
        <f>M4</f>
        <v>58.293887500000011</v>
      </c>
      <c r="R5" s="224">
        <v>5</v>
      </c>
      <c r="S5" s="28">
        <f t="shared" si="1"/>
        <v>7.5666861508835004E-2</v>
      </c>
    </row>
    <row r="6" spans="1:20" ht="16.5" thickBot="1" x14ac:dyDescent="0.3">
      <c r="A6">
        <f>ABS(B6-$J$66)</f>
        <v>2.6846857142857132</v>
      </c>
      <c r="B6" s="21">
        <v>56.355400000000003</v>
      </c>
      <c r="D6" s="171" t="s">
        <v>34</v>
      </c>
      <c r="E6" s="172"/>
      <c r="F6" s="27">
        <f>F4/F5</f>
        <v>1.0488750000000007</v>
      </c>
      <c r="H6" s="86">
        <v>60.916075000000014</v>
      </c>
      <c r="I6" s="223">
        <v>60.916075000000014</v>
      </c>
      <c r="J6" s="224">
        <v>1</v>
      </c>
      <c r="L6" s="41">
        <f t="shared" si="0"/>
        <v>58.293887500000011</v>
      </c>
      <c r="M6" s="40">
        <f>M5+F6</f>
        <v>60.391637500000016</v>
      </c>
      <c r="N6" s="224">
        <v>1</v>
      </c>
      <c r="Q6" s="45">
        <f t="shared" ref="Q6:Q9" si="2">M5</f>
        <v>59.342762500000013</v>
      </c>
      <c r="R6" s="224">
        <v>0</v>
      </c>
      <c r="S6" s="28">
        <f t="shared" si="1"/>
        <v>0</v>
      </c>
    </row>
    <row r="7" spans="1:20" ht="16.5" thickBot="1" x14ac:dyDescent="0.3">
      <c r="A7">
        <f>ABS(B7-$J$66)</f>
        <v>2.6962857142857146</v>
      </c>
      <c r="B7" s="21">
        <v>56.343800000000002</v>
      </c>
      <c r="H7" s="86">
        <v>61.964950000000016</v>
      </c>
      <c r="I7" s="223">
        <v>61.964950000000016</v>
      </c>
      <c r="J7" s="224">
        <v>10</v>
      </c>
      <c r="L7" s="41">
        <f t="shared" si="0"/>
        <v>59.342762500000006</v>
      </c>
      <c r="M7" s="40">
        <f>M6+F6</f>
        <v>61.440512500000018</v>
      </c>
      <c r="N7" s="224">
        <v>10</v>
      </c>
      <c r="Q7" s="45">
        <f t="shared" si="2"/>
        <v>60.391637500000016</v>
      </c>
      <c r="R7" s="224">
        <v>1</v>
      </c>
      <c r="S7" s="28">
        <f t="shared" si="1"/>
        <v>1.5133372301766999E-2</v>
      </c>
    </row>
    <row r="8" spans="1:20" ht="15.75" x14ac:dyDescent="0.25">
      <c r="A8">
        <f>ABS(B8-$J$66)</f>
        <v>2.5199857142857169</v>
      </c>
      <c r="B8" s="21">
        <v>56.520099999999999</v>
      </c>
      <c r="D8" s="173" t="s">
        <v>35</v>
      </c>
      <c r="E8" s="174"/>
      <c r="F8" s="34" t="s">
        <v>36</v>
      </c>
      <c r="H8" s="86">
        <v>63.013825000000018</v>
      </c>
      <c r="I8" s="223">
        <v>63.013825000000018</v>
      </c>
      <c r="J8" s="224">
        <v>10</v>
      </c>
      <c r="L8" s="41">
        <f t="shared" si="0"/>
        <v>59.342762500000006</v>
      </c>
      <c r="M8" s="40">
        <f>M7+F6</f>
        <v>62.489387500000021</v>
      </c>
      <c r="N8" s="224">
        <v>10</v>
      </c>
      <c r="Q8" s="45">
        <f t="shared" si="2"/>
        <v>61.440512500000018</v>
      </c>
      <c r="R8" s="224">
        <v>10</v>
      </c>
      <c r="S8" s="28">
        <f t="shared" si="1"/>
        <v>0.15133372301767001</v>
      </c>
    </row>
    <row r="9" spans="1:20" ht="16.5" thickBot="1" x14ac:dyDescent="0.3">
      <c r="A9">
        <f>ABS(B9-$J$66)</f>
        <v>2.3863857142857157</v>
      </c>
      <c r="B9" s="21">
        <v>56.653700000000001</v>
      </c>
      <c r="D9" s="31">
        <v>55.671700000000001</v>
      </c>
      <c r="E9" s="30">
        <f>D9+F6</f>
        <v>56.720575000000004</v>
      </c>
      <c r="F9" s="29">
        <f t="shared" ref="F9:F16" si="3">J2</f>
        <v>12</v>
      </c>
      <c r="H9" s="32">
        <v>64.062700000000021</v>
      </c>
      <c r="I9" s="223">
        <v>64.062700000000021</v>
      </c>
      <c r="J9" s="224">
        <v>3</v>
      </c>
      <c r="L9" s="42">
        <f t="shared" si="0"/>
        <v>60.391637500000016</v>
      </c>
      <c r="M9" s="44">
        <f>M8+F6</f>
        <v>63.538262500000023</v>
      </c>
      <c r="N9" s="224">
        <v>3</v>
      </c>
      <c r="Q9" s="45">
        <f t="shared" si="2"/>
        <v>62.489387500000021</v>
      </c>
      <c r="R9" s="224">
        <v>10</v>
      </c>
      <c r="S9" s="28">
        <f t="shared" si="1"/>
        <v>0.15133372301767001</v>
      </c>
    </row>
    <row r="10" spans="1:20" ht="16.5" thickBot="1" x14ac:dyDescent="0.3">
      <c r="A10">
        <f>ABS(B10-$J$66)</f>
        <v>2.279285714285713</v>
      </c>
      <c r="B10" s="21">
        <v>56.760800000000003</v>
      </c>
      <c r="D10" s="31">
        <f>E9</f>
        <v>56.720575000000004</v>
      </c>
      <c r="E10" s="30">
        <f>E9+F6</f>
        <v>57.769450000000006</v>
      </c>
      <c r="F10" s="29">
        <f t="shared" si="3"/>
        <v>22</v>
      </c>
      <c r="H10" s="22"/>
      <c r="I10" s="225" t="s">
        <v>38</v>
      </c>
      <c r="J10" s="225">
        <v>0</v>
      </c>
      <c r="Q10" s="46">
        <f>M9</f>
        <v>63.538262500000023</v>
      </c>
      <c r="R10" s="224">
        <v>3</v>
      </c>
      <c r="S10" s="23">
        <f t="shared" si="1"/>
        <v>4.5400116905300998E-2</v>
      </c>
    </row>
    <row r="11" spans="1:20" ht="16.5" thickBot="1" x14ac:dyDescent="0.3">
      <c r="A11">
        <f>ABS(B11-$J$66)</f>
        <v>3.1192857142857164</v>
      </c>
      <c r="B11" s="21">
        <v>55.9208</v>
      </c>
      <c r="D11" s="31">
        <v>55.671700000000001</v>
      </c>
      <c r="E11" s="30">
        <f>E10+F6</f>
        <v>58.818325000000009</v>
      </c>
      <c r="F11" s="29">
        <f t="shared" si="3"/>
        <v>5</v>
      </c>
      <c r="H11" s="37" t="s">
        <v>39</v>
      </c>
      <c r="I11" s="38"/>
      <c r="J11" s="39">
        <f>SUM(J2:J9)</f>
        <v>63</v>
      </c>
    </row>
    <row r="12" spans="1:20" ht="15.75" x14ac:dyDescent="0.25">
      <c r="A12">
        <f>ABS(B12-$J$66)</f>
        <v>3.368385714285715</v>
      </c>
      <c r="B12" s="21">
        <v>55.671700000000001</v>
      </c>
      <c r="D12" s="31">
        <f>D10</f>
        <v>56.720575000000004</v>
      </c>
      <c r="E12" s="30">
        <f>E11+F6</f>
        <v>59.867200000000011</v>
      </c>
      <c r="F12" s="29">
        <f t="shared" si="3"/>
        <v>0</v>
      </c>
    </row>
    <row r="13" spans="1:20" ht="15.75" x14ac:dyDescent="0.25">
      <c r="A13">
        <f>ABS(B13-$J$66)</f>
        <v>2.6658857142857144</v>
      </c>
      <c r="B13" s="21">
        <v>56.374200000000002</v>
      </c>
      <c r="D13" s="31">
        <v>55.671700000000001</v>
      </c>
      <c r="E13" s="30">
        <f>E12+F6</f>
        <v>60.916075000000014</v>
      </c>
      <c r="F13" s="29">
        <f t="shared" si="3"/>
        <v>1</v>
      </c>
    </row>
    <row r="14" spans="1:20" ht="15.75" x14ac:dyDescent="0.25">
      <c r="A14">
        <f>ABS(B14-$J$66)</f>
        <v>2.6066857142857174</v>
      </c>
      <c r="B14" s="21">
        <v>56.433399999999999</v>
      </c>
      <c r="D14" s="31">
        <f>D12</f>
        <v>56.720575000000004</v>
      </c>
      <c r="E14" s="30">
        <f>E13+F6</f>
        <v>61.964950000000016</v>
      </c>
      <c r="F14" s="29">
        <f t="shared" si="3"/>
        <v>10</v>
      </c>
    </row>
    <row r="15" spans="1:20" ht="15.75" x14ac:dyDescent="0.25">
      <c r="A15">
        <f>ABS(B15-$J$66)</f>
        <v>2.3784857142857163</v>
      </c>
      <c r="B15" s="21">
        <v>56.6616</v>
      </c>
      <c r="D15" s="31">
        <v>55.671700000000001</v>
      </c>
      <c r="E15" s="30">
        <f>E14+F6</f>
        <v>63.013825000000018</v>
      </c>
      <c r="F15" s="29">
        <f t="shared" si="3"/>
        <v>10</v>
      </c>
    </row>
    <row r="16" spans="1:20" ht="16.5" thickBot="1" x14ac:dyDescent="0.3">
      <c r="A16">
        <f>ABS(B16-$J$66)</f>
        <v>1.9400857142857149</v>
      </c>
      <c r="B16" s="21">
        <v>57.1</v>
      </c>
      <c r="D16" s="32">
        <f>D14</f>
        <v>56.720575000000004</v>
      </c>
      <c r="E16" s="33">
        <f>E15+F6</f>
        <v>64.062700000000021</v>
      </c>
      <c r="F16" s="27">
        <f t="shared" si="3"/>
        <v>3</v>
      </c>
    </row>
    <row r="17" spans="1:6" ht="15.75" x14ac:dyDescent="0.25">
      <c r="A17">
        <f>ABS(B17-$J$66)</f>
        <v>2.5359857142857152</v>
      </c>
      <c r="B17" s="21">
        <v>56.504100000000001</v>
      </c>
      <c r="D17" s="21"/>
      <c r="E17" s="21"/>
      <c r="F17" s="21"/>
    </row>
    <row r="18" spans="1:6" ht="15.75" x14ac:dyDescent="0.25">
      <c r="A18">
        <f>ABS(B18-$J$66)</f>
        <v>2.2389857142857181</v>
      </c>
      <c r="B18" s="21">
        <v>56.801099999999998</v>
      </c>
    </row>
    <row r="19" spans="1:6" ht="15.75" x14ac:dyDescent="0.25">
      <c r="A19">
        <f>ABS(B19-$J$66)</f>
        <v>2.4278857142857149</v>
      </c>
      <c r="B19" s="21">
        <v>56.612200000000001</v>
      </c>
    </row>
    <row r="20" spans="1:6" ht="15.75" x14ac:dyDescent="0.25">
      <c r="A20">
        <f>ABS(B20-$J$66)</f>
        <v>2.1041857142857197</v>
      </c>
      <c r="B20" s="21">
        <v>56.935899999999997</v>
      </c>
    </row>
    <row r="21" spans="1:6" ht="15.75" x14ac:dyDescent="0.25">
      <c r="A21">
        <f>ABS(B21-$J$66)</f>
        <v>2.1028857142857191</v>
      </c>
      <c r="B21" s="21">
        <v>56.937199999999997</v>
      </c>
    </row>
    <row r="22" spans="1:6" ht="15.75" x14ac:dyDescent="0.25">
      <c r="A22">
        <f>ABS(B22-$J$66)</f>
        <v>2.0212857142857175</v>
      </c>
      <c r="B22" s="21">
        <v>57.018799999999999</v>
      </c>
    </row>
    <row r="23" spans="1:6" ht="15.75" x14ac:dyDescent="0.25">
      <c r="A23">
        <f>ABS(B23-$J$66)</f>
        <v>1.545885714285717</v>
      </c>
      <c r="B23" s="21">
        <v>57.494199999999999</v>
      </c>
    </row>
    <row r="24" spans="1:6" ht="15.75" x14ac:dyDescent="0.25">
      <c r="A24">
        <f>ABS(B24-$J$66)</f>
        <v>1.4879857142857134</v>
      </c>
      <c r="B24" s="21">
        <v>57.552100000000003</v>
      </c>
    </row>
    <row r="25" spans="1:6" ht="15.75" x14ac:dyDescent="0.25">
      <c r="A25">
        <f>ABS(B25-$J$66)</f>
        <v>1.3367857142857176</v>
      </c>
      <c r="B25" s="21">
        <v>57.703299999999999</v>
      </c>
    </row>
    <row r="26" spans="1:6" ht="15.75" x14ac:dyDescent="0.25">
      <c r="A26">
        <f>ABS(B26-$J$66)</f>
        <v>1.5446857142857198</v>
      </c>
      <c r="B26" s="21">
        <v>57.495399999999997</v>
      </c>
    </row>
    <row r="27" spans="1:6" ht="15.75" x14ac:dyDescent="0.25">
      <c r="A27">
        <f>ABS(B27-$J$66)</f>
        <v>2.2009857142857143</v>
      </c>
      <c r="B27" s="21">
        <v>56.839100000000002</v>
      </c>
    </row>
    <row r="28" spans="1:6" ht="15.75" x14ac:dyDescent="0.25">
      <c r="A28">
        <f>ABS(B28-$J$66)</f>
        <v>1.9328857142857174</v>
      </c>
      <c r="B28" s="21">
        <v>57.107199999999999</v>
      </c>
    </row>
    <row r="29" spans="1:6" ht="15.75" x14ac:dyDescent="0.25">
      <c r="A29">
        <f>ABS(B29-$J$66)</f>
        <v>2.0361857142857147</v>
      </c>
      <c r="B29" s="21">
        <v>57.003900000000002</v>
      </c>
    </row>
    <row r="30" spans="1:6" ht="15.75" x14ac:dyDescent="0.25">
      <c r="A30">
        <f>ABS(B30-$J$66)</f>
        <v>1.8653857142857149</v>
      </c>
      <c r="B30" s="21">
        <v>57.174700000000001</v>
      </c>
    </row>
    <row r="31" spans="1:6" ht="15.75" x14ac:dyDescent="0.25">
      <c r="A31">
        <f>ABS(B31-$J$66)</f>
        <v>1.4802857142857135</v>
      </c>
      <c r="B31" s="21">
        <v>57.559800000000003</v>
      </c>
    </row>
    <row r="32" spans="1:6" ht="15.75" x14ac:dyDescent="0.25">
      <c r="A32">
        <f>ABS(B32-$J$66)</f>
        <v>1.2774857142857172</v>
      </c>
      <c r="B32" s="21">
        <v>57.762599999999999</v>
      </c>
    </row>
    <row r="33" spans="1:2" ht="15.75" x14ac:dyDescent="0.25">
      <c r="A33">
        <f>ABS(B33-$J$66)</f>
        <v>1.775185714285719</v>
      </c>
      <c r="B33" s="21">
        <v>57.264899999999997</v>
      </c>
    </row>
    <row r="34" spans="1:2" ht="15.75" x14ac:dyDescent="0.25">
      <c r="A34">
        <f>ABS(B34-$J$66)</f>
        <v>1.7550857142857197</v>
      </c>
      <c r="B34" s="21">
        <v>57.284999999999997</v>
      </c>
    </row>
    <row r="35" spans="1:2" ht="15.75" x14ac:dyDescent="0.25">
      <c r="A35">
        <f>ABS(B35-$J$66)</f>
        <v>1.5025857142857149</v>
      </c>
      <c r="B35" s="21">
        <v>57.537500000000001</v>
      </c>
    </row>
    <row r="36" spans="1:2" ht="15.75" x14ac:dyDescent="0.25">
      <c r="A36">
        <f>ABS(B36-$J$66)</f>
        <v>1.2754857142857148</v>
      </c>
      <c r="B36" s="21">
        <v>57.764600000000002</v>
      </c>
    </row>
    <row r="37" spans="1:2" ht="15.75" x14ac:dyDescent="0.25">
      <c r="A37">
        <f>ABS(B37-$J$66)</f>
        <v>1.4604857142857171</v>
      </c>
      <c r="B37" s="21">
        <v>57.579599999999999</v>
      </c>
    </row>
    <row r="38" spans="1:2" ht="15.75" x14ac:dyDescent="0.25">
      <c r="A38">
        <f>ABS(B38-$J$66)</f>
        <v>1.2068857142857183</v>
      </c>
      <c r="B38" s="21">
        <v>57.833199999999998</v>
      </c>
    </row>
    <row r="39" spans="1:2" ht="15.75" x14ac:dyDescent="0.25">
      <c r="A39">
        <f>ABS(B39-$J$66)</f>
        <v>0.46868571428571926</v>
      </c>
      <c r="B39" s="21">
        <v>58.571399999999997</v>
      </c>
    </row>
    <row r="40" spans="1:2" ht="15.75" x14ac:dyDescent="0.25">
      <c r="A40">
        <f>ABS(B40-$J$66)</f>
        <v>3.3298142857142849</v>
      </c>
      <c r="B40" s="21">
        <v>62.369900000000001</v>
      </c>
    </row>
    <row r="41" spans="1:2" ht="15.75" x14ac:dyDescent="0.25">
      <c r="A41">
        <f>ABS(B41-$J$66)</f>
        <v>5.022514285714287</v>
      </c>
      <c r="B41" s="21">
        <v>64.062600000000003</v>
      </c>
    </row>
    <row r="42" spans="1:2" ht="15.75" x14ac:dyDescent="0.25">
      <c r="A42">
        <f>ABS(B42-$J$66)</f>
        <v>3.0258142857142829</v>
      </c>
      <c r="B42" s="21">
        <v>62.065899999999999</v>
      </c>
    </row>
    <row r="43" spans="1:2" ht="15.75" x14ac:dyDescent="0.25">
      <c r="A43">
        <f>ABS(B43-$J$66)</f>
        <v>2.3910142857142844</v>
      </c>
      <c r="B43" s="21">
        <v>61.431100000000001</v>
      </c>
    </row>
    <row r="44" spans="1:2" ht="15.75" x14ac:dyDescent="0.25">
      <c r="A44">
        <f>ABS(B44-$J$66)</f>
        <v>3.2393142857142863</v>
      </c>
      <c r="B44" s="21">
        <v>62.279400000000003</v>
      </c>
    </row>
    <row r="45" spans="1:2" ht="15.75" x14ac:dyDescent="0.25">
      <c r="A45">
        <f>ABS(B45-$J$66)</f>
        <v>2.1053142857142859</v>
      </c>
      <c r="B45" s="21">
        <v>61.145400000000002</v>
      </c>
    </row>
    <row r="46" spans="1:2" ht="15.75" x14ac:dyDescent="0.25">
      <c r="A46">
        <f>ABS(B46-$J$66)</f>
        <v>2.5138142857142824</v>
      </c>
      <c r="B46" s="21">
        <v>61.553899999999999</v>
      </c>
    </row>
    <row r="47" spans="1:2" ht="15.75" x14ac:dyDescent="0.25">
      <c r="A47">
        <f>ABS(B47-$J$66)</f>
        <v>1.8182142857142836</v>
      </c>
      <c r="B47" s="21">
        <v>60.8583</v>
      </c>
    </row>
    <row r="48" spans="1:2" ht="15.75" x14ac:dyDescent="0.25">
      <c r="A48">
        <f>ABS(B48-$J$66)</f>
        <v>2.282114285714286</v>
      </c>
      <c r="B48" s="21">
        <v>61.322200000000002</v>
      </c>
    </row>
    <row r="49" spans="1:24" ht="15.75" x14ac:dyDescent="0.25">
      <c r="A49">
        <f>ABS(B49-$J$66)</f>
        <v>2.7254142857142867</v>
      </c>
      <c r="B49" s="21">
        <v>61.765500000000003</v>
      </c>
    </row>
    <row r="50" spans="1:24" ht="15.75" x14ac:dyDescent="0.25">
      <c r="A50">
        <f>ABS(B50-$J$66)</f>
        <v>2.6243142857142843</v>
      </c>
      <c r="B50" s="21">
        <v>61.664400000000001</v>
      </c>
    </row>
    <row r="51" spans="1:24" ht="15.75" x14ac:dyDescent="0.25">
      <c r="A51">
        <f>ABS(B51-$J$66)</f>
        <v>2.7093142857142851</v>
      </c>
      <c r="B51" s="21">
        <v>61.749400000000001</v>
      </c>
    </row>
    <row r="52" spans="1:24" ht="15.75" x14ac:dyDescent="0.25">
      <c r="A52">
        <f>ABS(B52-$J$66)</f>
        <v>3.5626142857142824</v>
      </c>
      <c r="B52" s="21">
        <v>62.602699999999999</v>
      </c>
    </row>
    <row r="53" spans="1:24" x14ac:dyDescent="0.25">
      <c r="A53">
        <f t="shared" ref="A53:A63" si="4">ABS(B53-$J$66)</f>
        <v>3.6859142857142828</v>
      </c>
      <c r="B53">
        <v>62.725999999999999</v>
      </c>
    </row>
    <row r="54" spans="1:24" ht="15.75" thickBot="1" x14ac:dyDescent="0.3">
      <c r="A54">
        <f t="shared" si="4"/>
        <v>2.9596142857142809</v>
      </c>
      <c r="B54" s="52">
        <v>61.999699999999997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</row>
    <row r="55" spans="1:24" ht="16.5" thickBot="1" x14ac:dyDescent="0.3">
      <c r="A55">
        <f t="shared" si="4"/>
        <v>4.4459142857142808</v>
      </c>
      <c r="B55">
        <v>63.485999999999997</v>
      </c>
      <c r="I55" s="87">
        <f>SUMPRODUCT($M$2:$M$9,$N$2:$N$9)/$P$1</f>
        <v>58.976488690476202</v>
      </c>
    </row>
    <row r="56" spans="1:24" ht="15.75" thickBot="1" x14ac:dyDescent="0.3">
      <c r="A56">
        <f t="shared" si="4"/>
        <v>4.1611142857142838</v>
      </c>
      <c r="B56">
        <v>63.2012</v>
      </c>
      <c r="J56" s="53">
        <f>(M2-$I$55)^2*N2</f>
        <v>92.764232908588824</v>
      </c>
    </row>
    <row r="57" spans="1:24" ht="15.75" thickBot="1" x14ac:dyDescent="0.3">
      <c r="A57">
        <f t="shared" si="4"/>
        <v>3.6747142857142805</v>
      </c>
      <c r="B57">
        <v>62.714799999999997</v>
      </c>
      <c r="J57" s="53">
        <f t="shared" ref="J57:J63" si="5">(M3-$I$55)^2*N3</f>
        <v>65.956215560090953</v>
      </c>
    </row>
    <row r="58" spans="1:24" ht="15.75" thickBot="1" x14ac:dyDescent="0.3">
      <c r="A58">
        <f t="shared" si="4"/>
        <v>2.7283142857142835</v>
      </c>
      <c r="B58">
        <v>61.7684</v>
      </c>
      <c r="J58" s="53">
        <f t="shared" si="5"/>
        <v>2.3297219261975681</v>
      </c>
    </row>
    <row r="59" spans="1:24" ht="15.75" thickBot="1" x14ac:dyDescent="0.3">
      <c r="A59">
        <f t="shared" si="4"/>
        <v>2.8763142857142867</v>
      </c>
      <c r="B59">
        <v>61.916400000000003</v>
      </c>
      <c r="J59" s="53">
        <f t="shared" si="5"/>
        <v>0</v>
      </c>
    </row>
    <row r="60" spans="1:24" ht="15.75" thickBot="1" x14ac:dyDescent="0.3">
      <c r="A60">
        <f t="shared" si="4"/>
        <v>3.2632142857142838</v>
      </c>
      <c r="B60">
        <v>62.3033</v>
      </c>
      <c r="J60" s="53">
        <f t="shared" si="5"/>
        <v>2.0026461530966668</v>
      </c>
    </row>
    <row r="61" spans="1:24" ht="15.75" thickBot="1" x14ac:dyDescent="0.3">
      <c r="A61">
        <f t="shared" si="4"/>
        <v>3.9665142857142826</v>
      </c>
      <c r="B61">
        <v>63.006599999999999</v>
      </c>
      <c r="J61" s="53">
        <f t="shared" si="5"/>
        <v>60.714133339002593</v>
      </c>
    </row>
    <row r="62" spans="1:24" ht="15.75" thickBot="1" x14ac:dyDescent="0.3">
      <c r="A62">
        <f t="shared" si="4"/>
        <v>3.4828142857142836</v>
      </c>
      <c r="B62">
        <v>62.5229</v>
      </c>
      <c r="J62" s="53">
        <f t="shared" si="5"/>
        <v>123.40458045953861</v>
      </c>
    </row>
    <row r="63" spans="1:24" x14ac:dyDescent="0.25">
      <c r="A63">
        <f t="shared" si="4"/>
        <v>2.6953142857142822</v>
      </c>
      <c r="B63">
        <v>61.735399999999998</v>
      </c>
      <c r="J63" s="53">
        <f t="shared" si="5"/>
        <v>62.429340867772424</v>
      </c>
    </row>
    <row r="64" spans="1:24" ht="15.75" thickBot="1" x14ac:dyDescent="0.3"/>
    <row r="65" spans="8:12" ht="15.75" x14ac:dyDescent="0.25">
      <c r="H65" s="61" t="s">
        <v>47</v>
      </c>
      <c r="I65" s="62">
        <f>MEDIAN($B$1:$B$63)</f>
        <v>57.703299999999999</v>
      </c>
      <c r="J65" s="56"/>
      <c r="K65" s="56"/>
      <c r="L65" s="57"/>
    </row>
    <row r="66" spans="8:12" ht="15.75" x14ac:dyDescent="0.25">
      <c r="H66" s="178" t="s">
        <v>48</v>
      </c>
      <c r="I66" s="179"/>
      <c r="J66" s="60">
        <f>AVERAGE($B$1:$B$63)</f>
        <v>59.040085714285716</v>
      </c>
      <c r="L66" s="58"/>
    </row>
    <row r="67" spans="8:12" ht="15.75" x14ac:dyDescent="0.25">
      <c r="H67" s="180" t="s">
        <v>49</v>
      </c>
      <c r="I67" s="181"/>
      <c r="J67" s="181"/>
      <c r="K67" s="30">
        <f>GEOMEAN($B$1:$B$63)</f>
        <v>58.985638867072595</v>
      </c>
      <c r="L67" s="58"/>
    </row>
    <row r="68" spans="8:12" ht="15.75" x14ac:dyDescent="0.25">
      <c r="H68" s="180" t="s">
        <v>50</v>
      </c>
      <c r="I68" s="181"/>
      <c r="J68" s="181"/>
      <c r="K68" s="30">
        <f>HARMEAN($B$1:$B$63)</f>
        <v>58.931954858407885</v>
      </c>
      <c r="L68" s="58"/>
    </row>
    <row r="69" spans="8:12" ht="15.75" x14ac:dyDescent="0.25">
      <c r="H69" s="180" t="s">
        <v>51</v>
      </c>
      <c r="I69" s="181"/>
      <c r="J69" s="181"/>
      <c r="K69" s="30">
        <f>_xlfn.VAR.P($B$1:$B$63)</f>
        <v>6.5134652520181398</v>
      </c>
      <c r="L69" s="58"/>
    </row>
    <row r="70" spans="8:12" ht="15.75" x14ac:dyDescent="0.25">
      <c r="H70" s="184" t="s">
        <v>52</v>
      </c>
      <c r="I70" s="185"/>
      <c r="J70" s="185"/>
      <c r="K70" s="60">
        <f>_xlfn.VAR.S($B$1:$B$63)</f>
        <v>6.6185211431797226</v>
      </c>
      <c r="L70" s="58"/>
    </row>
    <row r="71" spans="8:12" ht="15.75" x14ac:dyDescent="0.25">
      <c r="H71" s="188" t="s">
        <v>53</v>
      </c>
      <c r="I71" s="166"/>
      <c r="J71" s="166"/>
      <c r="K71" s="30">
        <f>_xlfn.STDEV.P($B$1:$B$63)</f>
        <v>2.5521491437645527</v>
      </c>
      <c r="L71" s="29">
        <f>$K$69^0.5</f>
        <v>2.5521491437645527</v>
      </c>
    </row>
    <row r="72" spans="8:12" ht="15.75" x14ac:dyDescent="0.25">
      <c r="H72" s="189" t="s">
        <v>54</v>
      </c>
      <c r="I72" s="190"/>
      <c r="J72" s="190"/>
      <c r="K72" s="30">
        <f>_xlfn.STDEV.S($B$1:$B$63)</f>
        <v>2.5726486629891232</v>
      </c>
      <c r="L72" s="29">
        <f>$K$70^0.5</f>
        <v>2.5726486629891232</v>
      </c>
    </row>
    <row r="73" spans="8:12" ht="15.75" x14ac:dyDescent="0.25">
      <c r="H73" s="180" t="s">
        <v>55</v>
      </c>
      <c r="I73" s="181"/>
      <c r="J73" s="181"/>
      <c r="K73" s="30">
        <f>SUM($A$1:$A$63)/63</f>
        <v>2.3901378684807266</v>
      </c>
      <c r="L73" s="58"/>
    </row>
    <row r="74" spans="8:12" ht="15.75" x14ac:dyDescent="0.25">
      <c r="H74" s="180" t="s">
        <v>56</v>
      </c>
      <c r="I74" s="181"/>
      <c r="J74" s="181"/>
      <c r="K74" s="30">
        <f>$K$71/$J$66</f>
        <v>4.3227395639553051E-2</v>
      </c>
      <c r="L74" s="58"/>
    </row>
    <row r="75" spans="8:12" ht="15.75" x14ac:dyDescent="0.25">
      <c r="H75" s="180" t="s">
        <v>57</v>
      </c>
      <c r="I75" s="181"/>
      <c r="J75" s="30">
        <f>SKEW($B$1:$B$63)</f>
        <v>0.49396125143141217</v>
      </c>
      <c r="L75" s="58"/>
    </row>
    <row r="76" spans="8:12" ht="15.75" x14ac:dyDescent="0.25">
      <c r="H76" s="184" t="s">
        <v>58</v>
      </c>
      <c r="I76" s="185"/>
      <c r="J76" s="60">
        <f>KURT($B$1:$B$63)</f>
        <v>-1.479632092333294</v>
      </c>
      <c r="L76" s="58"/>
    </row>
    <row r="77" spans="8:12" ht="15.75" x14ac:dyDescent="0.25">
      <c r="H77" s="180" t="s">
        <v>59</v>
      </c>
      <c r="I77" s="181"/>
      <c r="J77" s="181"/>
      <c r="K77" s="30">
        <f>SUMPRODUCT($M$2:$M$9,$N$2:$N$9)/$P$1</f>
        <v>58.976488690476202</v>
      </c>
      <c r="L77" s="58"/>
    </row>
    <row r="78" spans="8:12" ht="16.5" thickBot="1" x14ac:dyDescent="0.3">
      <c r="H78" s="186" t="s">
        <v>60</v>
      </c>
      <c r="I78" s="187"/>
      <c r="J78" s="187"/>
      <c r="K78" s="33">
        <f>SUM($J$56:$J$63)/63</f>
        <v>6.5016011303855175</v>
      </c>
      <c r="L78" s="59"/>
    </row>
  </sheetData>
  <sortState ref="I2:I9">
    <sortCondition ref="I2"/>
  </sortState>
  <mergeCells count="18">
    <mergeCell ref="H76:I76"/>
    <mergeCell ref="H77:J77"/>
    <mergeCell ref="H78:J78"/>
    <mergeCell ref="H70:J70"/>
    <mergeCell ref="H71:J71"/>
    <mergeCell ref="H72:J72"/>
    <mergeCell ref="H73:J73"/>
    <mergeCell ref="H74:J74"/>
    <mergeCell ref="H67:J67"/>
    <mergeCell ref="H68:J68"/>
    <mergeCell ref="H69:J69"/>
    <mergeCell ref="D5:E5"/>
    <mergeCell ref="H75:I75"/>
    <mergeCell ref="D4:E4"/>
    <mergeCell ref="D6:E6"/>
    <mergeCell ref="D8:E8"/>
    <mergeCell ref="Q1:S1"/>
    <mergeCell ref="H66:I6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topLeftCell="A46" zoomScale="115" zoomScaleNormal="115" workbookViewId="0">
      <selection activeCell="Q8" sqref="Q8"/>
    </sheetView>
  </sheetViews>
  <sheetFormatPr defaultRowHeight="15" x14ac:dyDescent="0.25"/>
  <cols>
    <col min="1" max="1" width="22.7109375" bestFit="1" customWidth="1"/>
    <col min="2" max="3" width="14" bestFit="1" customWidth="1"/>
    <col min="4" max="4" width="13.42578125" bestFit="1" customWidth="1"/>
    <col min="5" max="5" width="14" bestFit="1" customWidth="1"/>
  </cols>
  <sheetData>
    <row r="1" spans="1:16" x14ac:dyDescent="0.25">
      <c r="A1">
        <v>1</v>
      </c>
      <c r="B1">
        <v>1</v>
      </c>
      <c r="C1">
        <v>1</v>
      </c>
      <c r="D1">
        <v>2</v>
      </c>
      <c r="E1">
        <v>0</v>
      </c>
      <c r="F1">
        <v>3</v>
      </c>
      <c r="G1">
        <v>4</v>
      </c>
      <c r="H1">
        <v>2</v>
      </c>
      <c r="I1">
        <v>0</v>
      </c>
      <c r="J1">
        <v>0</v>
      </c>
      <c r="K1">
        <v>2</v>
      </c>
      <c r="L1">
        <v>0</v>
      </c>
      <c r="M1">
        <v>1</v>
      </c>
      <c r="N1">
        <v>5</v>
      </c>
      <c r="O1">
        <v>1</v>
      </c>
      <c r="P1" t="s">
        <v>18</v>
      </c>
    </row>
    <row r="2" spans="1:16" x14ac:dyDescent="0.25">
      <c r="A2">
        <v>24</v>
      </c>
      <c r="B2">
        <v>32</v>
      </c>
      <c r="C2">
        <v>32</v>
      </c>
      <c r="D2">
        <v>31</v>
      </c>
      <c r="E2">
        <v>32</v>
      </c>
      <c r="F2">
        <v>18</v>
      </c>
      <c r="G2">
        <v>0</v>
      </c>
      <c r="H2">
        <v>27</v>
      </c>
      <c r="I2">
        <v>32</v>
      </c>
      <c r="J2">
        <v>18</v>
      </c>
      <c r="K2">
        <v>23</v>
      </c>
      <c r="L2">
        <v>32</v>
      </c>
      <c r="M2">
        <v>32</v>
      </c>
      <c r="N2">
        <v>0</v>
      </c>
      <c r="O2">
        <v>32</v>
      </c>
      <c r="P2" t="s">
        <v>61</v>
      </c>
    </row>
    <row r="4" spans="1:16" x14ac:dyDescent="0.25">
      <c r="A4" t="s">
        <v>62</v>
      </c>
      <c r="B4">
        <f>SUM(A1:O1)/15</f>
        <v>1.5333333333333334</v>
      </c>
    </row>
    <row r="5" spans="1:16" x14ac:dyDescent="0.25">
      <c r="A5" t="s">
        <v>63</v>
      </c>
      <c r="B5">
        <f>SUM(A2:O2)/15</f>
        <v>24.333333333333332</v>
      </c>
    </row>
    <row r="7" spans="1:16" x14ac:dyDescent="0.25">
      <c r="A7" t="s">
        <v>64</v>
      </c>
      <c r="D7">
        <f>SUM(A9:O9)</f>
        <v>31.733333333333341</v>
      </c>
    </row>
    <row r="9" spans="1:16" x14ac:dyDescent="0.25">
      <c r="A9">
        <f>(A1-$B$4)^2</f>
        <v>0.28444444444444456</v>
      </c>
      <c r="B9">
        <f t="shared" ref="B9:O9" si="0">(B1-$B$4)^2</f>
        <v>0.28444444444444456</v>
      </c>
      <c r="C9">
        <f t="shared" si="0"/>
        <v>0.28444444444444456</v>
      </c>
      <c r="D9">
        <f t="shared" si="0"/>
        <v>0.21777777777777768</v>
      </c>
      <c r="E9">
        <f t="shared" si="0"/>
        <v>2.3511111111111114</v>
      </c>
      <c r="F9">
        <f t="shared" si="0"/>
        <v>2.1511111111111108</v>
      </c>
      <c r="G9">
        <f t="shared" si="0"/>
        <v>6.0844444444444452</v>
      </c>
      <c r="H9">
        <f t="shared" si="0"/>
        <v>0.21777777777777768</v>
      </c>
      <c r="I9">
        <f t="shared" si="0"/>
        <v>2.3511111111111114</v>
      </c>
      <c r="J9">
        <f t="shared" si="0"/>
        <v>2.3511111111111114</v>
      </c>
      <c r="K9">
        <f t="shared" si="0"/>
        <v>0.21777777777777768</v>
      </c>
      <c r="L9">
        <f t="shared" si="0"/>
        <v>2.3511111111111114</v>
      </c>
      <c r="M9">
        <f t="shared" si="0"/>
        <v>0.28444444444444456</v>
      </c>
      <c r="N9">
        <f t="shared" si="0"/>
        <v>12.017777777777779</v>
      </c>
      <c r="O9">
        <f t="shared" si="0"/>
        <v>0.28444444444444456</v>
      </c>
    </row>
    <row r="11" spans="1:16" x14ac:dyDescent="0.25">
      <c r="A11" t="s">
        <v>65</v>
      </c>
      <c r="D11">
        <f>SUM(A13:O13)</f>
        <v>1729.3333333333335</v>
      </c>
    </row>
    <row r="13" spans="1:16" x14ac:dyDescent="0.25">
      <c r="A13">
        <f>(A2-$B$5)^2</f>
        <v>0.11111111111111033</v>
      </c>
      <c r="B13">
        <f t="shared" ref="B13:O13" si="1">(B2-$B$5)^2</f>
        <v>58.777777777777793</v>
      </c>
      <c r="C13">
        <f t="shared" si="1"/>
        <v>58.777777777777793</v>
      </c>
      <c r="D13">
        <f t="shared" si="1"/>
        <v>44.444444444444457</v>
      </c>
      <c r="E13">
        <f t="shared" si="1"/>
        <v>58.777777777777793</v>
      </c>
      <c r="F13">
        <f t="shared" si="1"/>
        <v>40.111111111111093</v>
      </c>
      <c r="G13">
        <f t="shared" si="1"/>
        <v>592.11111111111109</v>
      </c>
      <c r="H13">
        <f t="shared" si="1"/>
        <v>7.1111111111111178</v>
      </c>
      <c r="I13">
        <f t="shared" si="1"/>
        <v>58.777777777777793</v>
      </c>
      <c r="J13">
        <f t="shared" si="1"/>
        <v>40.111111111111093</v>
      </c>
      <c r="K13">
        <f t="shared" si="1"/>
        <v>1.7777777777777746</v>
      </c>
      <c r="L13">
        <f t="shared" si="1"/>
        <v>58.777777777777793</v>
      </c>
      <c r="M13">
        <f t="shared" si="1"/>
        <v>58.777777777777793</v>
      </c>
      <c r="N13">
        <f t="shared" si="1"/>
        <v>592.11111111111109</v>
      </c>
      <c r="O13">
        <f t="shared" si="1"/>
        <v>58.777777777777793</v>
      </c>
    </row>
    <row r="15" spans="1:16" x14ac:dyDescent="0.25">
      <c r="A15" t="s">
        <v>66</v>
      </c>
      <c r="B15">
        <f>SUM(A19:O19)</f>
        <v>-191.66666666666669</v>
      </c>
    </row>
    <row r="17" spans="1:31" x14ac:dyDescent="0.25">
      <c r="A17">
        <f>(A1-$B$4)</f>
        <v>-0.53333333333333344</v>
      </c>
      <c r="B17">
        <f t="shared" ref="B17:O17" si="2">(B1-$B$4)</f>
        <v>-0.53333333333333344</v>
      </c>
      <c r="C17">
        <f t="shared" si="2"/>
        <v>-0.53333333333333344</v>
      </c>
      <c r="D17">
        <f t="shared" si="2"/>
        <v>0.46666666666666656</v>
      </c>
      <c r="E17">
        <f t="shared" si="2"/>
        <v>-1.5333333333333334</v>
      </c>
      <c r="F17">
        <f t="shared" si="2"/>
        <v>1.4666666666666666</v>
      </c>
      <c r="G17">
        <f t="shared" si="2"/>
        <v>2.4666666666666668</v>
      </c>
      <c r="H17">
        <f t="shared" si="2"/>
        <v>0.46666666666666656</v>
      </c>
      <c r="I17">
        <f t="shared" si="2"/>
        <v>-1.5333333333333334</v>
      </c>
      <c r="J17">
        <f t="shared" si="2"/>
        <v>-1.5333333333333334</v>
      </c>
      <c r="K17">
        <f t="shared" si="2"/>
        <v>0.46666666666666656</v>
      </c>
      <c r="L17">
        <f t="shared" si="2"/>
        <v>-1.5333333333333334</v>
      </c>
      <c r="M17">
        <f t="shared" si="2"/>
        <v>-0.53333333333333344</v>
      </c>
      <c r="N17">
        <f t="shared" si="2"/>
        <v>3.4666666666666668</v>
      </c>
      <c r="O17">
        <f t="shared" si="2"/>
        <v>-0.53333333333333344</v>
      </c>
    </row>
    <row r="18" spans="1:31" x14ac:dyDescent="0.25">
      <c r="A18">
        <f>(A2-$B$5)</f>
        <v>-0.33333333333333215</v>
      </c>
      <c r="B18">
        <f t="shared" ref="B18:O18" si="3">(B2-$B$5)</f>
        <v>7.6666666666666679</v>
      </c>
      <c r="C18">
        <f t="shared" si="3"/>
        <v>7.6666666666666679</v>
      </c>
      <c r="D18">
        <f t="shared" si="3"/>
        <v>6.6666666666666679</v>
      </c>
      <c r="E18">
        <f t="shared" si="3"/>
        <v>7.6666666666666679</v>
      </c>
      <c r="F18">
        <f t="shared" si="3"/>
        <v>-6.3333333333333321</v>
      </c>
      <c r="G18">
        <f t="shared" si="3"/>
        <v>-24.333333333333332</v>
      </c>
      <c r="H18">
        <f t="shared" si="3"/>
        <v>2.6666666666666679</v>
      </c>
      <c r="I18">
        <f t="shared" si="3"/>
        <v>7.6666666666666679</v>
      </c>
      <c r="J18">
        <f t="shared" si="3"/>
        <v>-6.3333333333333321</v>
      </c>
      <c r="K18">
        <f t="shared" si="3"/>
        <v>-1.3333333333333321</v>
      </c>
      <c r="L18">
        <f t="shared" si="3"/>
        <v>7.6666666666666679</v>
      </c>
      <c r="M18">
        <f t="shared" si="3"/>
        <v>7.6666666666666679</v>
      </c>
      <c r="N18">
        <f t="shared" si="3"/>
        <v>-24.333333333333332</v>
      </c>
      <c r="O18">
        <f t="shared" si="3"/>
        <v>7.6666666666666679</v>
      </c>
    </row>
    <row r="19" spans="1:31" x14ac:dyDescent="0.25">
      <c r="A19">
        <f>A17*A18</f>
        <v>0.17777777777777717</v>
      </c>
      <c r="B19">
        <f>B17*B18</f>
        <v>-4.0888888888888903</v>
      </c>
      <c r="C19">
        <f t="shared" ref="C19:O19" si="4">C17*C18</f>
        <v>-4.0888888888888903</v>
      </c>
      <c r="D19">
        <f t="shared" si="4"/>
        <v>3.1111111111111112</v>
      </c>
      <c r="E19">
        <f t="shared" si="4"/>
        <v>-11.755555555555558</v>
      </c>
      <c r="F19">
        <f t="shared" si="4"/>
        <v>-9.2888888888888861</v>
      </c>
      <c r="G19">
        <f t="shared" si="4"/>
        <v>-60.022222222222226</v>
      </c>
      <c r="H19">
        <f t="shared" si="4"/>
        <v>1.2444444444444447</v>
      </c>
      <c r="I19">
        <f t="shared" si="4"/>
        <v>-11.755555555555558</v>
      </c>
      <c r="J19">
        <f t="shared" si="4"/>
        <v>9.7111111111111104</v>
      </c>
      <c r="K19">
        <f t="shared" si="4"/>
        <v>-0.62222222222222157</v>
      </c>
      <c r="L19">
        <f t="shared" si="4"/>
        <v>-11.755555555555558</v>
      </c>
      <c r="M19">
        <f t="shared" si="4"/>
        <v>-4.0888888888888903</v>
      </c>
      <c r="N19">
        <f t="shared" si="4"/>
        <v>-84.355555555555554</v>
      </c>
      <c r="O19">
        <f t="shared" si="4"/>
        <v>-4.0888888888888903</v>
      </c>
    </row>
    <row r="21" spans="1:31" x14ac:dyDescent="0.25">
      <c r="A21" t="s">
        <v>69</v>
      </c>
      <c r="B21">
        <f>B15/SQRT(D11*D7)</f>
        <v>-0.81818099398078514</v>
      </c>
      <c r="O21" s="191" t="s">
        <v>72</v>
      </c>
      <c r="P21" s="191"/>
      <c r="Q21">
        <v>1</v>
      </c>
      <c r="R21">
        <v>2</v>
      </c>
      <c r="S21">
        <v>3</v>
      </c>
      <c r="T21">
        <v>4</v>
      </c>
      <c r="U21">
        <v>5</v>
      </c>
      <c r="V21">
        <v>6</v>
      </c>
      <c r="W21">
        <v>7</v>
      </c>
      <c r="X21">
        <v>8</v>
      </c>
      <c r="Y21">
        <v>9</v>
      </c>
      <c r="Z21">
        <v>10</v>
      </c>
      <c r="AA21">
        <v>11</v>
      </c>
      <c r="AB21">
        <v>12</v>
      </c>
      <c r="AC21">
        <v>13</v>
      </c>
      <c r="AD21">
        <v>14</v>
      </c>
      <c r="AE21">
        <v>15</v>
      </c>
    </row>
    <row r="22" spans="1:31" x14ac:dyDescent="0.25">
      <c r="M22" t="s">
        <v>67</v>
      </c>
      <c r="N22">
        <f>_xlfn.FORECAST.LINEAR(0,A2:O2,A1:O1)</f>
        <v>33.594537815126046</v>
      </c>
      <c r="O22" t="s">
        <v>67</v>
      </c>
      <c r="P22">
        <f>B5-P23*B4</f>
        <v>33.594537815126046</v>
      </c>
      <c r="Q22">
        <f>A1*A2</f>
        <v>24</v>
      </c>
      <c r="R22">
        <f t="shared" ref="R22:AE22" si="5">B1*B2</f>
        <v>32</v>
      </c>
      <c r="S22">
        <f t="shared" si="5"/>
        <v>32</v>
      </c>
      <c r="T22">
        <f t="shared" si="5"/>
        <v>62</v>
      </c>
      <c r="U22">
        <f t="shared" si="5"/>
        <v>0</v>
      </c>
      <c r="V22">
        <f t="shared" si="5"/>
        <v>54</v>
      </c>
      <c r="W22">
        <f t="shared" si="5"/>
        <v>0</v>
      </c>
      <c r="X22">
        <f t="shared" si="5"/>
        <v>54</v>
      </c>
      <c r="Y22">
        <f t="shared" si="5"/>
        <v>0</v>
      </c>
      <c r="Z22">
        <f t="shared" si="5"/>
        <v>0</v>
      </c>
      <c r="AA22">
        <f t="shared" si="5"/>
        <v>46</v>
      </c>
      <c r="AB22">
        <f t="shared" si="5"/>
        <v>0</v>
      </c>
      <c r="AC22">
        <f t="shared" si="5"/>
        <v>32</v>
      </c>
      <c r="AD22">
        <f t="shared" si="5"/>
        <v>0</v>
      </c>
      <c r="AE22">
        <f t="shared" si="5"/>
        <v>32</v>
      </c>
    </row>
    <row r="23" spans="1:31" x14ac:dyDescent="0.25">
      <c r="M23" t="s">
        <v>68</v>
      </c>
      <c r="N23">
        <f>SLOPE(A2:O2,A1:O1)</f>
        <v>-6.0399159663865536</v>
      </c>
      <c r="O23" t="s">
        <v>68</v>
      </c>
      <c r="P23">
        <f>(SUM(Q22:AE22)-15*B4*B5)/((SUM(Q23:AE23)-((SUM(A1:O1))^2/15)))</f>
        <v>-6.0399159663865536</v>
      </c>
      <c r="Q23">
        <f>A1^2</f>
        <v>1</v>
      </c>
      <c r="R23">
        <f t="shared" ref="R23:AE23" si="6">B1^2</f>
        <v>1</v>
      </c>
      <c r="S23">
        <f t="shared" si="6"/>
        <v>1</v>
      </c>
      <c r="T23">
        <f t="shared" si="6"/>
        <v>4</v>
      </c>
      <c r="U23">
        <f t="shared" si="6"/>
        <v>0</v>
      </c>
      <c r="V23">
        <f t="shared" si="6"/>
        <v>9</v>
      </c>
      <c r="W23">
        <f t="shared" si="6"/>
        <v>16</v>
      </c>
      <c r="X23">
        <f t="shared" si="6"/>
        <v>4</v>
      </c>
      <c r="Y23">
        <f t="shared" si="6"/>
        <v>0</v>
      </c>
      <c r="Z23">
        <f t="shared" si="6"/>
        <v>0</v>
      </c>
      <c r="AA23">
        <f t="shared" si="6"/>
        <v>4</v>
      </c>
      <c r="AB23">
        <f t="shared" si="6"/>
        <v>0</v>
      </c>
      <c r="AC23">
        <f t="shared" si="6"/>
        <v>1</v>
      </c>
      <c r="AD23">
        <f t="shared" si="6"/>
        <v>25</v>
      </c>
      <c r="AE23">
        <f t="shared" si="6"/>
        <v>1</v>
      </c>
    </row>
    <row r="34" spans="1:16" x14ac:dyDescent="0.25">
      <c r="A34">
        <v>24</v>
      </c>
      <c r="B34">
        <v>32</v>
      </c>
      <c r="C34">
        <v>32</v>
      </c>
      <c r="D34">
        <v>31</v>
      </c>
      <c r="E34">
        <v>32</v>
      </c>
      <c r="F34">
        <v>18</v>
      </c>
      <c r="G34">
        <v>0</v>
      </c>
      <c r="H34">
        <v>27</v>
      </c>
      <c r="I34">
        <v>32</v>
      </c>
      <c r="J34">
        <v>18</v>
      </c>
      <c r="K34">
        <v>23</v>
      </c>
      <c r="L34">
        <v>32</v>
      </c>
      <c r="M34">
        <v>32</v>
      </c>
      <c r="N34">
        <v>0</v>
      </c>
      <c r="O34">
        <v>32</v>
      </c>
      <c r="P34" t="s">
        <v>1</v>
      </c>
    </row>
    <row r="35" spans="1:16" x14ac:dyDescent="0.25">
      <c r="A35">
        <v>1</v>
      </c>
      <c r="B35">
        <v>1</v>
      </c>
      <c r="C35">
        <v>1</v>
      </c>
      <c r="D35">
        <v>2</v>
      </c>
      <c r="E35">
        <v>0</v>
      </c>
      <c r="F35">
        <v>3</v>
      </c>
      <c r="G35">
        <v>4</v>
      </c>
      <c r="H35">
        <v>2</v>
      </c>
      <c r="I35">
        <v>0</v>
      </c>
      <c r="J35">
        <v>0</v>
      </c>
      <c r="K35">
        <v>2</v>
      </c>
      <c r="L35">
        <v>0</v>
      </c>
      <c r="M35">
        <v>1</v>
      </c>
      <c r="N35">
        <v>5</v>
      </c>
      <c r="O35">
        <v>1</v>
      </c>
      <c r="P35" t="s">
        <v>0</v>
      </c>
    </row>
    <row r="37" spans="1:16" x14ac:dyDescent="0.25">
      <c r="M37" t="s">
        <v>70</v>
      </c>
      <c r="N37">
        <f>_xlfn.FORECAST.LINEAR(0,A35:O35,A34:O34)</f>
        <v>4.230262143407864</v>
      </c>
    </row>
    <row r="38" spans="1:16" x14ac:dyDescent="0.25">
      <c r="M38" t="s">
        <v>71</v>
      </c>
      <c r="N38">
        <f>SLOPE(A35:O35,A34:O34)</f>
        <v>-0.11083269082498072</v>
      </c>
    </row>
    <row r="51" spans="1:11" x14ac:dyDescent="0.25">
      <c r="A51" t="s">
        <v>61</v>
      </c>
      <c r="B51" t="s">
        <v>18</v>
      </c>
    </row>
    <row r="52" spans="1:11" x14ac:dyDescent="0.25">
      <c r="A52">
        <v>10.5</v>
      </c>
      <c r="B52">
        <v>45</v>
      </c>
      <c r="C52">
        <v>55</v>
      </c>
      <c r="D52">
        <v>65</v>
      </c>
      <c r="E52">
        <v>75</v>
      </c>
    </row>
    <row r="53" spans="1:11" x14ac:dyDescent="0.25">
      <c r="A53">
        <v>11.5</v>
      </c>
    </row>
    <row r="54" spans="1:11" x14ac:dyDescent="0.25">
      <c r="A54">
        <v>12.5</v>
      </c>
    </row>
    <row r="55" spans="1:11" x14ac:dyDescent="0.25">
      <c r="A55">
        <v>13.5</v>
      </c>
    </row>
    <row r="56" spans="1:11" ht="15.75" thickBot="1" x14ac:dyDescent="0.3"/>
    <row r="57" spans="1:11" x14ac:dyDescent="0.25">
      <c r="A57" s="64" t="s">
        <v>73</v>
      </c>
      <c r="B57" s="65" t="s">
        <v>74</v>
      </c>
      <c r="C57" s="65" t="s">
        <v>75</v>
      </c>
      <c r="D57" s="65" t="s">
        <v>76</v>
      </c>
      <c r="E57" s="72" t="s">
        <v>77</v>
      </c>
      <c r="F57" s="53" t="s">
        <v>82</v>
      </c>
      <c r="H57" s="64" t="s">
        <v>62</v>
      </c>
      <c r="I57" s="65" t="s">
        <v>63</v>
      </c>
      <c r="J57" s="65" t="s">
        <v>83</v>
      </c>
      <c r="K57" s="66"/>
    </row>
    <row r="58" spans="1:11" ht="15.75" thickBot="1" x14ac:dyDescent="0.3">
      <c r="A58" s="67" t="s">
        <v>78</v>
      </c>
      <c r="B58" s="6">
        <v>2</v>
      </c>
      <c r="C58" s="6">
        <v>11</v>
      </c>
      <c r="D58" s="6">
        <v>3</v>
      </c>
      <c r="E58" s="9">
        <v>2</v>
      </c>
      <c r="F58" s="54">
        <f>SUM(B58:E58)</f>
        <v>18</v>
      </c>
      <c r="H58" s="22">
        <f>SUMPRODUCT(B52:E52,B62:E62)/102</f>
        <v>61.568627450980394</v>
      </c>
      <c r="I58" s="35">
        <f>SUMPRODUCT(A52:A55,F58:F61)/102</f>
        <v>12.049019607843137</v>
      </c>
      <c r="J58" s="35">
        <f>SUM(B58:E61)</f>
        <v>102</v>
      </c>
      <c r="K58" s="23"/>
    </row>
    <row r="59" spans="1:11" x14ac:dyDescent="0.25">
      <c r="A59" s="68" t="s">
        <v>79</v>
      </c>
      <c r="B59" s="6">
        <v>1</v>
      </c>
      <c r="C59" s="6">
        <v>19</v>
      </c>
      <c r="D59" s="6">
        <v>2</v>
      </c>
      <c r="E59" s="9">
        <v>4</v>
      </c>
      <c r="F59" s="54">
        <f t="shared" ref="F59:F61" si="7">SUM(B59:E59)</f>
        <v>26</v>
      </c>
    </row>
    <row r="60" spans="1:11" x14ac:dyDescent="0.25">
      <c r="A60" s="68" t="s">
        <v>80</v>
      </c>
      <c r="B60" s="6">
        <v>3</v>
      </c>
      <c r="C60" s="6">
        <v>6</v>
      </c>
      <c r="D60" s="6">
        <v>27</v>
      </c>
      <c r="E60" s="9">
        <v>6</v>
      </c>
      <c r="F60" s="54">
        <f t="shared" si="7"/>
        <v>42</v>
      </c>
    </row>
    <row r="61" spans="1:11" ht="15.75" thickBot="1" x14ac:dyDescent="0.3">
      <c r="A61" s="69" t="s">
        <v>81</v>
      </c>
      <c r="B61" s="35">
        <v>2</v>
      </c>
      <c r="C61" s="35">
        <v>3</v>
      </c>
      <c r="D61" s="35">
        <v>3</v>
      </c>
      <c r="E61" s="73">
        <v>8</v>
      </c>
      <c r="F61" s="54">
        <f t="shared" si="7"/>
        <v>16</v>
      </c>
    </row>
    <row r="62" spans="1:11" ht="15.75" thickBot="1" x14ac:dyDescent="0.3">
      <c r="A62" s="70" t="s">
        <v>82</v>
      </c>
      <c r="B62" s="71">
        <f>SUM(B58:B61)</f>
        <v>8</v>
      </c>
      <c r="C62" s="71">
        <f t="shared" ref="C62:E62" si="8">SUM(C58:C61)</f>
        <v>39</v>
      </c>
      <c r="D62" s="71">
        <f t="shared" si="8"/>
        <v>35</v>
      </c>
      <c r="E62" s="71">
        <f t="shared" si="8"/>
        <v>20</v>
      </c>
      <c r="F62" s="55"/>
    </row>
    <row r="63" spans="1:11" ht="15.75" thickBot="1" x14ac:dyDescent="0.3"/>
    <row r="64" spans="1:11" ht="15.75" thickBot="1" x14ac:dyDescent="0.3">
      <c r="A64" s="70" t="s">
        <v>84</v>
      </c>
      <c r="B64" s="74">
        <f>(B52-$H$58)^2*B62</f>
        <v>2196.1553248750483</v>
      </c>
      <c r="C64" s="74">
        <f t="shared" ref="C64:E64" si="9">(C52-$H$58)^2*C62</f>
        <v>1682.7277970011542</v>
      </c>
      <c r="D64" s="74">
        <f t="shared" si="9"/>
        <v>412.10111495578587</v>
      </c>
      <c r="E64" s="74">
        <f t="shared" si="9"/>
        <v>3608.035371011149</v>
      </c>
      <c r="F64" s="75">
        <f>SUM(B64:E64)</f>
        <v>7899.0196078431381</v>
      </c>
    </row>
  </sheetData>
  <mergeCells count="1">
    <mergeCell ref="O21:P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G19" workbookViewId="0">
      <selection activeCell="F16" sqref="F16:G16"/>
    </sheetView>
  </sheetViews>
  <sheetFormatPr defaultRowHeight="15" x14ac:dyDescent="0.25"/>
  <cols>
    <col min="6" max="6" width="16" customWidth="1"/>
    <col min="7" max="7" width="10.140625" customWidth="1"/>
    <col min="9" max="9" width="9.85546875" customWidth="1"/>
    <col min="10" max="10" width="9.7109375" customWidth="1"/>
    <col min="12" max="12" width="14.42578125" customWidth="1"/>
  </cols>
  <sheetData>
    <row r="1" spans="1:12" ht="15.75" thickBot="1" x14ac:dyDescent="0.3"/>
    <row r="2" spans="1:12" ht="15.75" x14ac:dyDescent="0.25">
      <c r="B2" s="81" t="s">
        <v>0</v>
      </c>
      <c r="C2" s="47" t="s">
        <v>1</v>
      </c>
      <c r="D2" s="93" t="s">
        <v>86</v>
      </c>
      <c r="E2" s="94" t="s">
        <v>87</v>
      </c>
      <c r="F2" s="103" t="s">
        <v>89</v>
      </c>
      <c r="G2" s="78" t="s">
        <v>85</v>
      </c>
      <c r="H2" s="47" t="s">
        <v>63</v>
      </c>
      <c r="I2" s="36" t="s">
        <v>90</v>
      </c>
      <c r="J2" s="105" t="s">
        <v>91</v>
      </c>
      <c r="K2" s="121"/>
      <c r="L2" s="89"/>
    </row>
    <row r="3" spans="1:12" ht="16.5" thickBot="1" x14ac:dyDescent="0.3">
      <c r="B3" s="31">
        <v>4</v>
      </c>
      <c r="C3" s="91">
        <v>4</v>
      </c>
      <c r="D3" s="80">
        <f>B3-$G$3</f>
        <v>-5.4285714285714288</v>
      </c>
      <c r="E3" s="95">
        <f>C3-$H$3</f>
        <v>-2.8571428571428568</v>
      </c>
      <c r="F3" s="97">
        <f>D3*E3</f>
        <v>15.510204081632653</v>
      </c>
      <c r="G3" s="88">
        <f>SUM(B3:B9)/7</f>
        <v>9.4285714285714288</v>
      </c>
      <c r="H3" s="104">
        <f>SUM(C3:C9)/7</f>
        <v>6.8571428571428568</v>
      </c>
      <c r="I3" s="80">
        <f>D3^2</f>
        <v>29.469387755102044</v>
      </c>
      <c r="J3" s="28">
        <f>E3^2</f>
        <v>8.1632653061224474</v>
      </c>
      <c r="K3" s="90"/>
      <c r="L3" s="90"/>
    </row>
    <row r="4" spans="1:12" ht="15.75" x14ac:dyDescent="0.25">
      <c r="B4" s="31">
        <v>7</v>
      </c>
      <c r="C4" s="91">
        <v>4</v>
      </c>
      <c r="D4" s="80">
        <f t="shared" ref="D4:D9" si="0">B4-$G$3</f>
        <v>-2.4285714285714288</v>
      </c>
      <c r="E4" s="95">
        <f>C4-$H$3</f>
        <v>-2.8571428571428568</v>
      </c>
      <c r="F4" s="97">
        <f>D4*E4</f>
        <v>6.9387755102040813</v>
      </c>
      <c r="I4" s="80">
        <f t="shared" ref="I4:I9" si="1">D4^2</f>
        <v>5.8979591836734704</v>
      </c>
      <c r="J4" s="28">
        <f t="shared" ref="J4:J8" si="2">E4^2</f>
        <v>8.1632653061224474</v>
      </c>
    </row>
    <row r="5" spans="1:12" ht="15.75" x14ac:dyDescent="0.25">
      <c r="B5" s="31">
        <v>13</v>
      </c>
      <c r="C5" s="91">
        <v>8</v>
      </c>
      <c r="D5" s="80">
        <f t="shared" si="0"/>
        <v>3.5714285714285712</v>
      </c>
      <c r="E5" s="95">
        <f t="shared" ref="E5:E8" si="3">C5-$H$3</f>
        <v>1.1428571428571432</v>
      </c>
      <c r="F5" s="97">
        <f>D5*E5</f>
        <v>4.0816326530612255</v>
      </c>
      <c r="I5" s="80">
        <f t="shared" si="1"/>
        <v>12.755102040816325</v>
      </c>
      <c r="J5" s="28">
        <f t="shared" si="2"/>
        <v>1.3061224489795926</v>
      </c>
    </row>
    <row r="6" spans="1:12" ht="15.75" x14ac:dyDescent="0.25">
      <c r="B6" s="31">
        <v>8</v>
      </c>
      <c r="C6" s="91">
        <v>8</v>
      </c>
      <c r="D6" s="80">
        <f t="shared" si="0"/>
        <v>-1.4285714285714288</v>
      </c>
      <c r="E6" s="95">
        <f t="shared" si="3"/>
        <v>1.1428571428571432</v>
      </c>
      <c r="F6" s="97">
        <f>D6*E6</f>
        <v>-1.6326530612244907</v>
      </c>
      <c r="I6" s="80">
        <f t="shared" si="1"/>
        <v>2.0408163265306132</v>
      </c>
      <c r="J6" s="28">
        <f t="shared" si="2"/>
        <v>1.3061224489795926</v>
      </c>
    </row>
    <row r="7" spans="1:12" ht="15.75" x14ac:dyDescent="0.25">
      <c r="B7" s="31">
        <v>7</v>
      </c>
      <c r="C7" s="91">
        <v>11</v>
      </c>
      <c r="D7" s="80">
        <f t="shared" si="0"/>
        <v>-2.4285714285714288</v>
      </c>
      <c r="E7" s="95">
        <f t="shared" si="3"/>
        <v>4.1428571428571432</v>
      </c>
      <c r="F7" s="97">
        <f t="shared" ref="F7:F8" si="4">D7*E7</f>
        <v>-10.06122448979592</v>
      </c>
      <c r="I7" s="80">
        <f t="shared" si="1"/>
        <v>5.8979591836734704</v>
      </c>
      <c r="J7" s="28">
        <f t="shared" si="2"/>
        <v>17.163265306122451</v>
      </c>
    </row>
    <row r="8" spans="1:12" ht="15.75" x14ac:dyDescent="0.25">
      <c r="B8" s="31">
        <v>12</v>
      </c>
      <c r="C8" s="91">
        <v>1</v>
      </c>
      <c r="D8" s="80">
        <f t="shared" si="0"/>
        <v>2.5714285714285712</v>
      </c>
      <c r="E8" s="95">
        <f t="shared" si="3"/>
        <v>-5.8571428571428568</v>
      </c>
      <c r="F8" s="97">
        <f t="shared" si="4"/>
        <v>-15.061224489795915</v>
      </c>
      <c r="I8" s="80">
        <f t="shared" si="1"/>
        <v>6.6122448979591821</v>
      </c>
      <c r="J8" s="28">
        <f t="shared" si="2"/>
        <v>34.306122448979586</v>
      </c>
    </row>
    <row r="9" spans="1:12" ht="16.5" thickBot="1" x14ac:dyDescent="0.3">
      <c r="B9" s="63">
        <v>15</v>
      </c>
      <c r="C9" s="92">
        <v>12</v>
      </c>
      <c r="D9" s="22">
        <f t="shared" si="0"/>
        <v>5.5714285714285712</v>
      </c>
      <c r="E9" s="96">
        <f>C9-$H$3</f>
        <v>5.1428571428571432</v>
      </c>
      <c r="F9" s="100">
        <f>D9*E9</f>
        <v>28.653061224489797</v>
      </c>
      <c r="I9" s="106">
        <f t="shared" si="1"/>
        <v>31.04081632653061</v>
      </c>
      <c r="J9" s="107">
        <f>E9^2</f>
        <v>26.448979591836739</v>
      </c>
    </row>
    <row r="10" spans="1:12" ht="16.5" thickBot="1" x14ac:dyDescent="0.3">
      <c r="A10" s="102" t="s">
        <v>82</v>
      </c>
      <c r="B10" s="83">
        <f>SUM(B3:B9)</f>
        <v>66</v>
      </c>
      <c r="C10" s="84">
        <f>SUM(C3:C9)</f>
        <v>48</v>
      </c>
      <c r="F10" s="109" t="s">
        <v>88</v>
      </c>
      <c r="G10" s="110">
        <f>SUM(F3:F9)</f>
        <v>28.428571428571431</v>
      </c>
      <c r="H10" s="122" t="s">
        <v>82</v>
      </c>
      <c r="I10" s="101">
        <f>SUM(I3:I9)</f>
        <v>93.714285714285708</v>
      </c>
      <c r="J10" s="84">
        <f>SUM(J3:J9)</f>
        <v>96.857142857142861</v>
      </c>
    </row>
    <row r="11" spans="1:12" ht="16.5" thickBot="1" x14ac:dyDescent="0.3">
      <c r="F11" s="108" t="s">
        <v>92</v>
      </c>
      <c r="G11" s="84">
        <f>(I10*J10)^0.5</f>
        <v>95.272755597724114</v>
      </c>
    </row>
    <row r="12" spans="1:12" ht="15.75" thickBot="1" x14ac:dyDescent="0.3"/>
    <row r="13" spans="1:12" ht="16.5" thickBot="1" x14ac:dyDescent="0.3">
      <c r="C13" s="192" t="s">
        <v>93</v>
      </c>
      <c r="D13" s="198"/>
      <c r="E13" s="199"/>
      <c r="F13" s="111">
        <f>G10/G11</f>
        <v>0.2983914052891164</v>
      </c>
    </row>
    <row r="14" spans="1:12" ht="15.75" thickBot="1" x14ac:dyDescent="0.3"/>
    <row r="15" spans="1:12" ht="16.5" thickBot="1" x14ac:dyDescent="0.3">
      <c r="A15" s="200" t="s">
        <v>94</v>
      </c>
      <c r="B15" s="201"/>
      <c r="C15" s="201"/>
      <c r="D15" s="81" t="s">
        <v>95</v>
      </c>
      <c r="E15" s="34" t="s">
        <v>96</v>
      </c>
      <c r="F15" s="194" t="s">
        <v>102</v>
      </c>
      <c r="G15" s="195"/>
      <c r="I15" s="147" t="s">
        <v>0</v>
      </c>
      <c r="J15" s="47" t="s">
        <v>1</v>
      </c>
    </row>
    <row r="16" spans="1:12" ht="16.5" thickBot="1" x14ac:dyDescent="0.3">
      <c r="D16" s="31">
        <f>B3*C3</f>
        <v>16</v>
      </c>
      <c r="E16" s="29">
        <f>B3^2</f>
        <v>16</v>
      </c>
      <c r="F16" s="196" t="s">
        <v>117</v>
      </c>
      <c r="G16" s="197"/>
      <c r="I16" s="86">
        <v>4</v>
      </c>
      <c r="J16" s="91">
        <v>4</v>
      </c>
    </row>
    <row r="17" spans="1:10" ht="15.75" x14ac:dyDescent="0.25">
      <c r="A17" s="76" t="s">
        <v>46</v>
      </c>
      <c r="B17" s="26">
        <v>7</v>
      </c>
      <c r="D17" s="31">
        <f>B4*C4</f>
        <v>28</v>
      </c>
      <c r="E17" s="29">
        <f t="shared" ref="E17:E22" si="5">B4^2</f>
        <v>49</v>
      </c>
      <c r="I17" s="86">
        <v>7</v>
      </c>
      <c r="J17" s="91">
        <v>4</v>
      </c>
    </row>
    <row r="18" spans="1:10" ht="16.5" thickBot="1" x14ac:dyDescent="0.3">
      <c r="A18" s="186" t="s">
        <v>97</v>
      </c>
      <c r="B18" s="202"/>
      <c r="D18" s="31">
        <f>B5*C5</f>
        <v>104</v>
      </c>
      <c r="E18" s="29">
        <f t="shared" si="5"/>
        <v>169</v>
      </c>
      <c r="I18" s="86">
        <v>13</v>
      </c>
      <c r="J18" s="91">
        <v>8</v>
      </c>
    </row>
    <row r="19" spans="1:10" ht="16.5" thickBot="1" x14ac:dyDescent="0.3">
      <c r="A19" s="203" t="s">
        <v>100</v>
      </c>
      <c r="B19" s="204"/>
      <c r="D19" s="31">
        <f>B6*C6</f>
        <v>64</v>
      </c>
      <c r="E19" s="29">
        <f t="shared" si="5"/>
        <v>64</v>
      </c>
      <c r="I19" s="86">
        <v>8</v>
      </c>
      <c r="J19" s="91">
        <v>8</v>
      </c>
    </row>
    <row r="20" spans="1:10" ht="15.75" x14ac:dyDescent="0.25">
      <c r="A20" s="76" t="s">
        <v>98</v>
      </c>
      <c r="B20" s="113">
        <f>H3-B21*G3</f>
        <v>3.9969512195121948</v>
      </c>
      <c r="C20">
        <f>_xlfn.FORECAST.LINEAR(0,C3:C9,B3:B9)</f>
        <v>3.9969512195121943</v>
      </c>
      <c r="D20" s="31">
        <f t="shared" ref="D20:D22" si="6">B7*C7</f>
        <v>77</v>
      </c>
      <c r="E20" s="29">
        <f t="shared" si="5"/>
        <v>49</v>
      </c>
      <c r="I20" s="86">
        <v>7</v>
      </c>
      <c r="J20" s="91">
        <v>11</v>
      </c>
    </row>
    <row r="21" spans="1:10" ht="16.5" thickBot="1" x14ac:dyDescent="0.3">
      <c r="A21" s="77" t="s">
        <v>68</v>
      </c>
      <c r="B21" s="114">
        <f>(B17*D23-B10*C10)/(E23*B17-B10^2)</f>
        <v>0.30335365853658536</v>
      </c>
      <c r="C21">
        <f>SLOPE(C3:C9,B3:B9)</f>
        <v>0.30335365853658541</v>
      </c>
      <c r="D21" s="31">
        <f t="shared" si="6"/>
        <v>12</v>
      </c>
      <c r="E21" s="29">
        <f t="shared" si="5"/>
        <v>144</v>
      </c>
      <c r="I21" s="86">
        <v>12</v>
      </c>
      <c r="J21" s="91">
        <v>1</v>
      </c>
    </row>
    <row r="22" spans="1:10" ht="16.5" thickBot="1" x14ac:dyDescent="0.3">
      <c r="D22" s="63">
        <f t="shared" si="6"/>
        <v>180</v>
      </c>
      <c r="E22" s="82">
        <f t="shared" si="5"/>
        <v>225</v>
      </c>
      <c r="I22" s="85">
        <v>15</v>
      </c>
      <c r="J22" s="92">
        <v>12</v>
      </c>
    </row>
    <row r="23" spans="1:10" ht="16.5" thickBot="1" x14ac:dyDescent="0.3">
      <c r="C23" s="116" t="s">
        <v>82</v>
      </c>
      <c r="D23" s="119">
        <f>SUM(D16:D22)</f>
        <v>481</v>
      </c>
      <c r="E23" s="120">
        <f>SUM(E16:E22)</f>
        <v>716</v>
      </c>
    </row>
    <row r="24" spans="1:10" ht="15.75" thickBot="1" x14ac:dyDescent="0.3"/>
    <row r="25" spans="1:10" ht="15.75" x14ac:dyDescent="0.25">
      <c r="E25" s="118" t="s">
        <v>99</v>
      </c>
      <c r="F25" s="194" t="s">
        <v>101</v>
      </c>
      <c r="G25" s="195"/>
    </row>
    <row r="26" spans="1:10" ht="16.5" thickBot="1" x14ac:dyDescent="0.3">
      <c r="E26" s="98">
        <f>C3^2</f>
        <v>16</v>
      </c>
      <c r="F26" s="196" t="s">
        <v>118</v>
      </c>
      <c r="G26" s="197"/>
    </row>
    <row r="27" spans="1:10" ht="15.75" x14ac:dyDescent="0.25">
      <c r="E27" s="98">
        <f t="shared" ref="E27:E31" si="7">C4^2</f>
        <v>16</v>
      </c>
    </row>
    <row r="28" spans="1:10" ht="15.75" x14ac:dyDescent="0.25">
      <c r="E28" s="98">
        <f t="shared" si="7"/>
        <v>64</v>
      </c>
    </row>
    <row r="29" spans="1:10" ht="15.75" x14ac:dyDescent="0.25">
      <c r="E29" s="98">
        <f t="shared" si="7"/>
        <v>64</v>
      </c>
    </row>
    <row r="30" spans="1:10" ht="16.5" thickBot="1" x14ac:dyDescent="0.3">
      <c r="E30" s="98">
        <f t="shared" si="7"/>
        <v>121</v>
      </c>
    </row>
    <row r="31" spans="1:10" ht="16.5" thickBot="1" x14ac:dyDescent="0.3">
      <c r="A31" s="192" t="s">
        <v>100</v>
      </c>
      <c r="B31" s="193"/>
      <c r="E31" s="98">
        <f t="shared" si="7"/>
        <v>1</v>
      </c>
      <c r="I31" s="47" t="s">
        <v>1</v>
      </c>
      <c r="J31" s="147" t="s">
        <v>0</v>
      </c>
    </row>
    <row r="32" spans="1:10" ht="16.5" thickBot="1" x14ac:dyDescent="0.3">
      <c r="A32" s="76" t="s">
        <v>70</v>
      </c>
      <c r="B32" s="113">
        <f>G3-B33*H3</f>
        <v>7.4159292035398234</v>
      </c>
      <c r="C32">
        <f>_xlfn.FORECAST.LINEAR(0,B3:B9,C3:C9)</f>
        <v>7.4159292035398234</v>
      </c>
      <c r="E32" s="99">
        <f>C9^2</f>
        <v>144</v>
      </c>
      <c r="I32" s="91">
        <v>4</v>
      </c>
      <c r="J32" s="86">
        <v>4</v>
      </c>
    </row>
    <row r="33" spans="1:10" ht="16.5" thickBot="1" x14ac:dyDescent="0.3">
      <c r="A33" s="77" t="s">
        <v>71</v>
      </c>
      <c r="B33" s="114">
        <f>(B17*D23-B10*C10)/(B17*E33-C10^2)</f>
        <v>0.29351032448377579</v>
      </c>
      <c r="C33">
        <f>SLOPE(B3:B9,C3:C9)</f>
        <v>0.29351032448377584</v>
      </c>
      <c r="D33" s="116" t="s">
        <v>82</v>
      </c>
      <c r="E33" s="117">
        <f>SUM(E26:E32)</f>
        <v>426</v>
      </c>
      <c r="I33" s="91">
        <v>4</v>
      </c>
      <c r="J33" s="86">
        <v>7</v>
      </c>
    </row>
    <row r="34" spans="1:10" ht="15.75" x14ac:dyDescent="0.25">
      <c r="I34" s="91">
        <v>8</v>
      </c>
      <c r="J34" s="86">
        <v>13</v>
      </c>
    </row>
    <row r="35" spans="1:10" ht="15.75" x14ac:dyDescent="0.25">
      <c r="I35" s="91">
        <v>8</v>
      </c>
      <c r="J35" s="86">
        <v>8</v>
      </c>
    </row>
    <row r="36" spans="1:10" ht="15.75" x14ac:dyDescent="0.25">
      <c r="I36" s="91">
        <v>11</v>
      </c>
      <c r="J36" s="86">
        <v>7</v>
      </c>
    </row>
    <row r="37" spans="1:10" ht="15.75" x14ac:dyDescent="0.25">
      <c r="I37" s="91">
        <v>1</v>
      </c>
      <c r="J37" s="86">
        <v>12</v>
      </c>
    </row>
    <row r="38" spans="1:10" ht="15.75" x14ac:dyDescent="0.25">
      <c r="I38" s="92">
        <v>12</v>
      </c>
      <c r="J38" s="85">
        <v>15</v>
      </c>
    </row>
  </sheetData>
  <mergeCells count="9">
    <mergeCell ref="A31:B31"/>
    <mergeCell ref="F25:G25"/>
    <mergeCell ref="F26:G26"/>
    <mergeCell ref="C13:E13"/>
    <mergeCell ref="A15:C15"/>
    <mergeCell ref="A18:B18"/>
    <mergeCell ref="F15:G15"/>
    <mergeCell ref="F16:G16"/>
    <mergeCell ref="A19:B1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tabSelected="1" topLeftCell="G1" workbookViewId="0">
      <selection activeCell="R6" sqref="R6:T6"/>
    </sheetView>
  </sheetViews>
  <sheetFormatPr defaultRowHeight="15" x14ac:dyDescent="0.25"/>
  <sheetData>
    <row r="2" spans="1:20" ht="15.75" thickBot="1" x14ac:dyDescent="0.3">
      <c r="N2" t="s">
        <v>46</v>
      </c>
    </row>
    <row r="3" spans="1:20" ht="16.5" thickBot="1" x14ac:dyDescent="0.3">
      <c r="B3" s="212" t="s">
        <v>103</v>
      </c>
      <c r="C3" s="213"/>
      <c r="D3" s="125" t="s">
        <v>119</v>
      </c>
      <c r="E3" s="126" t="s">
        <v>120</v>
      </c>
      <c r="F3" s="126" t="s">
        <v>121</v>
      </c>
      <c r="G3" s="126" t="s">
        <v>122</v>
      </c>
      <c r="H3" s="126" t="s">
        <v>123</v>
      </c>
      <c r="I3" s="127" t="s">
        <v>124</v>
      </c>
      <c r="J3" s="141"/>
      <c r="L3" s="216" t="s">
        <v>104</v>
      </c>
      <c r="M3" s="217"/>
      <c r="N3" s="120">
        <f>SUM(D5:I9)</f>
        <v>210</v>
      </c>
      <c r="P3" s="76" t="s">
        <v>67</v>
      </c>
      <c r="Q3" s="26">
        <f>M6-Q4*L6</f>
        <v>0.82360194953904919</v>
      </c>
      <c r="R3" s="194" t="s">
        <v>114</v>
      </c>
      <c r="S3" s="205"/>
      <c r="T3" s="195"/>
    </row>
    <row r="4" spans="1:20" ht="16.5" thickBot="1" x14ac:dyDescent="0.3">
      <c r="B4" s="214"/>
      <c r="C4" s="215"/>
      <c r="D4" s="132">
        <v>5</v>
      </c>
      <c r="E4" s="133">
        <v>9</v>
      </c>
      <c r="F4" s="133">
        <v>13</v>
      </c>
      <c r="G4" s="133">
        <v>17</v>
      </c>
      <c r="H4" s="133">
        <v>21</v>
      </c>
      <c r="I4" s="142">
        <v>25</v>
      </c>
      <c r="J4" s="146" t="s">
        <v>82</v>
      </c>
      <c r="P4" s="162" t="s">
        <v>68</v>
      </c>
      <c r="Q4" s="29">
        <f>N8/(Q14-R15/N3)</f>
        <v>0.34576914795748537</v>
      </c>
      <c r="R4" s="206" t="s">
        <v>130</v>
      </c>
      <c r="S4" s="207"/>
      <c r="T4" s="208"/>
    </row>
    <row r="5" spans="1:20" ht="15.75" x14ac:dyDescent="0.25">
      <c r="B5" s="128" t="s">
        <v>125</v>
      </c>
      <c r="C5" s="105">
        <v>2</v>
      </c>
      <c r="D5" s="135">
        <v>7</v>
      </c>
      <c r="E5" s="136">
        <v>3</v>
      </c>
      <c r="F5" s="136">
        <v>0</v>
      </c>
      <c r="G5" s="136">
        <v>0</v>
      </c>
      <c r="H5" s="136">
        <v>0</v>
      </c>
      <c r="I5" s="143">
        <v>0</v>
      </c>
      <c r="J5" s="54">
        <f>SUM(D5:I5)</f>
        <v>10</v>
      </c>
      <c r="L5" s="81" t="s">
        <v>105</v>
      </c>
      <c r="M5" s="34" t="s">
        <v>106</v>
      </c>
      <c r="P5" s="162" t="s">
        <v>70</v>
      </c>
      <c r="Q5" s="29">
        <f>L6-Q6*M6</f>
        <v>5.2127272727272924</v>
      </c>
      <c r="R5" s="194" t="s">
        <v>114</v>
      </c>
      <c r="S5" s="205"/>
      <c r="T5" s="195"/>
    </row>
    <row r="6" spans="1:20" ht="16.5" thickBot="1" x14ac:dyDescent="0.3">
      <c r="B6" s="129" t="s">
        <v>126</v>
      </c>
      <c r="C6" s="131">
        <v>4</v>
      </c>
      <c r="D6" s="137">
        <v>0</v>
      </c>
      <c r="E6" s="138">
        <v>27</v>
      </c>
      <c r="F6" s="138">
        <v>33</v>
      </c>
      <c r="G6" s="138">
        <v>0</v>
      </c>
      <c r="H6" s="138">
        <v>0</v>
      </c>
      <c r="I6" s="144">
        <v>0</v>
      </c>
      <c r="J6" s="54">
        <f>SUM(D6:I6)</f>
        <v>60</v>
      </c>
      <c r="L6" s="79">
        <f>SUMPRODUCT(D4:I4,D10:I10)/N3</f>
        <v>14.695238095238095</v>
      </c>
      <c r="M6" s="124">
        <f>SUMPRODUCT(C5:C9,J5:J9)/N3</f>
        <v>5.9047619047619051</v>
      </c>
      <c r="P6" s="77" t="s">
        <v>71</v>
      </c>
      <c r="Q6" s="27">
        <f>N8/(L23-M24/N3)</f>
        <v>1.6059090909090874</v>
      </c>
      <c r="R6" s="209" t="s">
        <v>131</v>
      </c>
      <c r="S6" s="210"/>
      <c r="T6" s="211"/>
    </row>
    <row r="7" spans="1:20" ht="16.5" thickBot="1" x14ac:dyDescent="0.3">
      <c r="B7" s="129" t="s">
        <v>127</v>
      </c>
      <c r="C7" s="131">
        <v>6</v>
      </c>
      <c r="D7" s="137">
        <v>0</v>
      </c>
      <c r="E7" s="138">
        <v>0</v>
      </c>
      <c r="F7" s="138">
        <v>33</v>
      </c>
      <c r="G7" s="138">
        <v>50</v>
      </c>
      <c r="H7" s="138">
        <v>7</v>
      </c>
      <c r="I7" s="144">
        <v>0</v>
      </c>
      <c r="J7" s="54">
        <f>SUM(D7:I7)</f>
        <v>90</v>
      </c>
    </row>
    <row r="8" spans="1:20" ht="15.75" x14ac:dyDescent="0.25">
      <c r="B8" s="129" t="s">
        <v>128</v>
      </c>
      <c r="C8" s="131">
        <v>8</v>
      </c>
      <c r="D8" s="137">
        <v>0</v>
      </c>
      <c r="E8" s="138">
        <v>0</v>
      </c>
      <c r="F8" s="138">
        <v>10</v>
      </c>
      <c r="G8" s="138">
        <v>11</v>
      </c>
      <c r="H8" s="138">
        <v>3</v>
      </c>
      <c r="I8" s="144">
        <v>6</v>
      </c>
      <c r="J8" s="54">
        <f>SUM(D8:I8)</f>
        <v>30</v>
      </c>
      <c r="L8" s="218" t="s">
        <v>88</v>
      </c>
      <c r="M8" s="219"/>
      <c r="N8" s="66">
        <f>E21-L6*M6*N3</f>
        <v>1345.9047619047597</v>
      </c>
      <c r="P8" s="156" t="s">
        <v>113</v>
      </c>
    </row>
    <row r="9" spans="1:20" ht="16.5" thickBot="1" x14ac:dyDescent="0.3">
      <c r="B9" s="130" t="s">
        <v>129</v>
      </c>
      <c r="C9" s="134">
        <v>10</v>
      </c>
      <c r="D9" s="139">
        <v>0</v>
      </c>
      <c r="E9" s="140">
        <v>0</v>
      </c>
      <c r="F9" s="140">
        <v>0</v>
      </c>
      <c r="G9" s="140">
        <v>9</v>
      </c>
      <c r="H9" s="140">
        <v>8</v>
      </c>
      <c r="I9" s="145">
        <v>3</v>
      </c>
      <c r="J9" s="55">
        <f>SUM(D9:I9)</f>
        <v>20</v>
      </c>
      <c r="L9" s="221" t="s">
        <v>92</v>
      </c>
      <c r="M9" s="222"/>
      <c r="N9" s="23">
        <f>SQRT(H13*B21)</f>
        <v>1806.1787628460281</v>
      </c>
      <c r="P9" s="99">
        <f>N8/N9</f>
        <v>0.74516697327566483</v>
      </c>
    </row>
    <row r="10" spans="1:20" ht="16.5" thickBot="1" x14ac:dyDescent="0.3">
      <c r="C10" s="112" t="s">
        <v>82</v>
      </c>
      <c r="D10" s="83">
        <f t="shared" ref="D10:I10" si="0">SUM(D5:D9)</f>
        <v>7</v>
      </c>
      <c r="E10" s="83">
        <f t="shared" si="0"/>
        <v>30</v>
      </c>
      <c r="F10" s="83">
        <f t="shared" si="0"/>
        <v>76</v>
      </c>
      <c r="G10" s="83">
        <f t="shared" si="0"/>
        <v>70</v>
      </c>
      <c r="H10" s="83">
        <f t="shared" si="0"/>
        <v>18</v>
      </c>
      <c r="I10" s="84">
        <f t="shared" si="0"/>
        <v>9</v>
      </c>
    </row>
    <row r="11" spans="1:20" ht="16.5" thickBot="1" x14ac:dyDescent="0.3">
      <c r="Q11" s="156" t="s">
        <v>82</v>
      </c>
    </row>
    <row r="12" spans="1:20" ht="16.5" thickBot="1" x14ac:dyDescent="0.3">
      <c r="B12" s="218" t="s">
        <v>107</v>
      </c>
      <c r="C12" s="219"/>
      <c r="D12" s="148"/>
      <c r="E12" s="148"/>
      <c r="F12" s="148"/>
      <c r="G12" s="148"/>
      <c r="H12" s="34" t="s">
        <v>82</v>
      </c>
      <c r="J12" s="76" t="s">
        <v>18</v>
      </c>
      <c r="K12" s="132">
        <v>5</v>
      </c>
      <c r="L12" s="133">
        <v>9</v>
      </c>
      <c r="M12" s="133">
        <v>13</v>
      </c>
      <c r="N12" s="133">
        <v>17</v>
      </c>
      <c r="O12" s="133">
        <v>21</v>
      </c>
      <c r="P12" s="142">
        <v>25</v>
      </c>
      <c r="Q12" s="98"/>
    </row>
    <row r="13" spans="1:20" ht="16.5" thickBot="1" x14ac:dyDescent="0.3">
      <c r="B13" s="32">
        <f>((D4-$L$6)^2)*D10</f>
        <v>657.98349206349201</v>
      </c>
      <c r="C13" s="33">
        <f>((E4-$L$6)^2)*E10</f>
        <v>973.07210884353719</v>
      </c>
      <c r="D13" s="33">
        <f t="shared" ref="D13:F13" si="1">((F4-$L$6)^2)*F10</f>
        <v>218.4112471655327</v>
      </c>
      <c r="E13" s="33">
        <f t="shared" si="1"/>
        <v>371.83492063492082</v>
      </c>
      <c r="F13" s="33">
        <f t="shared" si="1"/>
        <v>715.50040816326555</v>
      </c>
      <c r="G13" s="149">
        <f>((I4-$L$6)^2)*I10</f>
        <v>955.69306122448995</v>
      </c>
      <c r="H13" s="124">
        <f>SUM(B13:G13)</f>
        <v>3892.4952380952382</v>
      </c>
      <c r="J13" s="157" t="s">
        <v>110</v>
      </c>
      <c r="K13" s="83">
        <v>7</v>
      </c>
      <c r="L13" s="83">
        <v>30</v>
      </c>
      <c r="M13" s="83">
        <v>76</v>
      </c>
      <c r="N13" s="83">
        <v>70</v>
      </c>
      <c r="O13" s="83">
        <v>18</v>
      </c>
      <c r="P13" s="84">
        <v>9</v>
      </c>
      <c r="Q13" s="98"/>
    </row>
    <row r="14" spans="1:20" ht="16.5" thickBot="1" x14ac:dyDescent="0.3">
      <c r="J14" s="158" t="s">
        <v>111</v>
      </c>
      <c r="K14" s="6">
        <f>K13*K12^2</f>
        <v>175</v>
      </c>
      <c r="L14" s="6">
        <f t="shared" ref="L14:O14" si="2">L13*L12^2</f>
        <v>2430</v>
      </c>
      <c r="M14" s="6">
        <f t="shared" si="2"/>
        <v>12844</v>
      </c>
      <c r="N14" s="6">
        <f t="shared" si="2"/>
        <v>20230</v>
      </c>
      <c r="O14" s="6">
        <f t="shared" si="2"/>
        <v>7938</v>
      </c>
      <c r="P14" s="9">
        <f>P13*P12^2</f>
        <v>5625</v>
      </c>
      <c r="Q14" s="97">
        <f>SUM(K14:P14)</f>
        <v>49242</v>
      </c>
    </row>
    <row r="15" spans="1:20" ht="16.5" thickBot="1" x14ac:dyDescent="0.3">
      <c r="A15" s="21"/>
      <c r="B15" s="218" t="s">
        <v>108</v>
      </c>
      <c r="C15" s="220"/>
      <c r="D15" s="115"/>
      <c r="E15" s="118" t="s">
        <v>109</v>
      </c>
      <c r="F15" s="115"/>
      <c r="G15" s="115"/>
      <c r="H15" s="89"/>
      <c r="J15" s="159" t="s">
        <v>112</v>
      </c>
      <c r="K15" s="35">
        <f>K12*K13</f>
        <v>35</v>
      </c>
      <c r="L15" s="35">
        <f t="shared" ref="L15:P15" si="3">L12*L13</f>
        <v>270</v>
      </c>
      <c r="M15" s="35">
        <f t="shared" si="3"/>
        <v>988</v>
      </c>
      <c r="N15" s="35">
        <f t="shared" si="3"/>
        <v>1190</v>
      </c>
      <c r="O15" s="35">
        <f t="shared" si="3"/>
        <v>378</v>
      </c>
      <c r="P15" s="35">
        <f t="shared" si="3"/>
        <v>225</v>
      </c>
      <c r="Q15" s="123">
        <f>SUM(K15:P15)</f>
        <v>3086</v>
      </c>
      <c r="R15" s="121">
        <f>Q15^2</f>
        <v>9523396</v>
      </c>
    </row>
    <row r="16" spans="1:20" ht="16.5" thickBot="1" x14ac:dyDescent="0.3">
      <c r="A16" s="21"/>
      <c r="B16" s="151">
        <f>((C5-$M$6)^2)*J5</f>
        <v>152.47165532879822</v>
      </c>
      <c r="C16" s="152"/>
      <c r="D16" s="115"/>
      <c r="E16" s="98">
        <f>SUMPRODUCT($D$4:$I$4,D5:I5)*C5</f>
        <v>124</v>
      </c>
      <c r="F16" s="115"/>
      <c r="G16" s="115"/>
      <c r="H16" s="150"/>
    </row>
    <row r="17" spans="1:13" ht="15.75" x14ac:dyDescent="0.25">
      <c r="A17" s="21"/>
      <c r="B17" s="31">
        <f t="shared" ref="B17:B19" si="4">((C6-$M$6)^2)*J6</f>
        <v>217.68707482993204</v>
      </c>
      <c r="C17" s="152"/>
      <c r="E17" s="98">
        <f t="shared" ref="E17:E19" si="5">SUMPRODUCT($D$4:$I$4,D6:I6)*C6</f>
        <v>2688</v>
      </c>
      <c r="J17" s="81" t="s">
        <v>61</v>
      </c>
      <c r="K17" s="43" t="s">
        <v>110</v>
      </c>
      <c r="L17" s="43" t="s">
        <v>115</v>
      </c>
      <c r="M17" s="34" t="s">
        <v>116</v>
      </c>
    </row>
    <row r="18" spans="1:13" ht="15.75" x14ac:dyDescent="0.25">
      <c r="A18" s="21"/>
      <c r="B18" s="31">
        <f t="shared" si="4"/>
        <v>0.81632653061223914</v>
      </c>
      <c r="C18" s="152"/>
      <c r="E18" s="98">
        <f t="shared" si="5"/>
        <v>8556</v>
      </c>
      <c r="J18" s="160">
        <v>2</v>
      </c>
      <c r="K18" s="30">
        <v>10</v>
      </c>
      <c r="L18" s="30">
        <f>K18*J18^2</f>
        <v>40</v>
      </c>
      <c r="M18" s="29">
        <f>K18*J18</f>
        <v>20</v>
      </c>
    </row>
    <row r="19" spans="1:13" ht="15.75" x14ac:dyDescent="0.25">
      <c r="A19" s="21"/>
      <c r="B19" s="31">
        <f t="shared" si="4"/>
        <v>131.7006802721088</v>
      </c>
      <c r="C19" s="152"/>
      <c r="E19" s="98">
        <f t="shared" si="5"/>
        <v>4240</v>
      </c>
      <c r="J19" s="160">
        <v>4</v>
      </c>
      <c r="K19" s="30">
        <v>60</v>
      </c>
      <c r="L19" s="30">
        <f t="shared" ref="L19:L22" si="6">K19*J19^2</f>
        <v>960</v>
      </c>
      <c r="M19" s="29">
        <f t="shared" ref="M19:M21" si="7">K19*J19</f>
        <v>240</v>
      </c>
    </row>
    <row r="20" spans="1:13" ht="16.5" thickBot="1" x14ac:dyDescent="0.3">
      <c r="A20" s="21"/>
      <c r="B20" s="31">
        <f>((C9-$M$6)^2)*J9</f>
        <v>335.41950113378681</v>
      </c>
      <c r="C20" s="152"/>
      <c r="E20" s="155">
        <f>SUMPRODUCT($D$4:$I$4,D9:I9)*C9</f>
        <v>3960</v>
      </c>
      <c r="J20" s="160">
        <v>6</v>
      </c>
      <c r="K20" s="30">
        <v>90</v>
      </c>
      <c r="L20" s="30">
        <f t="shared" si="6"/>
        <v>3240</v>
      </c>
      <c r="M20" s="29">
        <f t="shared" si="7"/>
        <v>540</v>
      </c>
    </row>
    <row r="21" spans="1:13" ht="16.5" thickBot="1" x14ac:dyDescent="0.3">
      <c r="A21" s="153" t="s">
        <v>82</v>
      </c>
      <c r="B21" s="32">
        <f>SUM(B16:B20)</f>
        <v>838.09523809523807</v>
      </c>
      <c r="C21" s="154"/>
      <c r="D21" s="102" t="s">
        <v>82</v>
      </c>
      <c r="E21" s="123">
        <f>SUM(E16:E20)</f>
        <v>19568</v>
      </c>
      <c r="J21" s="160">
        <v>8</v>
      </c>
      <c r="K21" s="30">
        <v>30</v>
      </c>
      <c r="L21" s="30">
        <f t="shared" si="6"/>
        <v>1920</v>
      </c>
      <c r="M21" s="29">
        <f t="shared" si="7"/>
        <v>240</v>
      </c>
    </row>
    <row r="22" spans="1:13" ht="16.5" thickBot="1" x14ac:dyDescent="0.3">
      <c r="J22" s="160">
        <v>10</v>
      </c>
      <c r="K22" s="30">
        <v>20</v>
      </c>
      <c r="L22" s="30">
        <f t="shared" si="6"/>
        <v>2000</v>
      </c>
      <c r="M22" s="29">
        <f>K22*J22</f>
        <v>200</v>
      </c>
    </row>
    <row r="23" spans="1:13" ht="16.5" thickBot="1" x14ac:dyDescent="0.3">
      <c r="I23" s="161" t="s">
        <v>82</v>
      </c>
      <c r="J23" s="22"/>
      <c r="K23" s="35"/>
      <c r="L23" s="33">
        <f>SUM(L18:L22)</f>
        <v>8160</v>
      </c>
      <c r="M23" s="27">
        <f>SUM(M18:M22)</f>
        <v>1240</v>
      </c>
    </row>
    <row r="24" spans="1:13" ht="15.75" x14ac:dyDescent="0.25">
      <c r="M24" s="21">
        <f>M23^2</f>
        <v>1537600</v>
      </c>
    </row>
  </sheetData>
  <mergeCells count="10">
    <mergeCell ref="B12:C12"/>
    <mergeCell ref="B15:C15"/>
    <mergeCell ref="L8:M8"/>
    <mergeCell ref="L9:M9"/>
    <mergeCell ref="R3:T3"/>
    <mergeCell ref="R4:T4"/>
    <mergeCell ref="R6:T6"/>
    <mergeCell ref="R5:T5"/>
    <mergeCell ref="B3:C4"/>
    <mergeCell ref="L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МС Задание2.1 пункт 1 и 2</vt:lpstr>
      <vt:lpstr>матстат пара</vt:lpstr>
      <vt:lpstr>Мс задание 2.2</vt:lpstr>
      <vt:lpstr>Мс задание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Comrade</cp:lastModifiedBy>
  <dcterms:created xsi:type="dcterms:W3CDTF">2022-10-05T19:05:06Z</dcterms:created>
  <dcterms:modified xsi:type="dcterms:W3CDTF">2022-11-29T15:23:03Z</dcterms:modified>
</cp:coreProperties>
</file>