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all De Paor\Desktop\Supaero\Research Project\Sizing-Tool\ORLA_Lander_Mission_Architecture\"/>
    </mc:Choice>
  </mc:AlternateContent>
  <xr:revisionPtr revIDLastSave="0" documentId="13_ncr:1_{A96CB83E-D98B-4DBD-9827-B6F98A4647F1}" xr6:coauthVersionLast="47" xr6:coauthVersionMax="47" xr10:uidLastSave="{00000000-0000-0000-0000-000000000000}"/>
  <bookViews>
    <workbookView xWindow="-120" yWindow="-120" windowWidth="20730" windowHeight="11160" firstSheet="3" activeTab="4" xr2:uid="{B3BF74C1-D929-4CA0-B8BF-5D4C53CAF467}"/>
  </bookViews>
  <sheets>
    <sheet name="Sizing and Cost Calcs" sheetId="1" r:id="rId1"/>
    <sheet name="Transfer Vehicle Data" sheetId="2" r:id="rId2"/>
    <sheet name="Sizing Results" sheetId="3" r:id="rId3"/>
    <sheet name="Pairwise Comparison" sheetId="4" r:id="rId4"/>
    <sheet name="Trade off Results" sheetId="5" r:id="rId5"/>
    <sheet name="Launcher Database" sheetId="6" r:id="rId6"/>
    <sheet name="Lander SS DB" sheetId="8" r:id="rId7"/>
    <sheet name="Subsystem Sizing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2" l="1"/>
  <c r="J15" i="2" s="1"/>
  <c r="I14" i="2"/>
  <c r="J14" i="2" s="1"/>
  <c r="I13" i="2"/>
  <c r="J13" i="2" s="1"/>
  <c r="I12" i="2"/>
  <c r="J12" i="2" s="1"/>
  <c r="J41" i="5"/>
  <c r="J42" i="5"/>
  <c r="J43" i="5"/>
  <c r="J44" i="5"/>
  <c r="J45" i="5"/>
  <c r="J40" i="5"/>
  <c r="Z72" i="1"/>
  <c r="Y72" i="1"/>
  <c r="Z67" i="1"/>
  <c r="Y67" i="1"/>
  <c r="F13" i="6"/>
  <c r="S72" i="1"/>
  <c r="F14" i="3"/>
  <c r="F13" i="3"/>
  <c r="F10" i="3"/>
  <c r="F9" i="3"/>
  <c r="K8" i="3"/>
  <c r="H15" i="3"/>
  <c r="D6" i="5"/>
  <c r="G76" i="1"/>
  <c r="AF77" i="1"/>
  <c r="AF76" i="1"/>
  <c r="Z3" i="1"/>
  <c r="AD33" i="8" l="1"/>
  <c r="Y33" i="8" s="1"/>
  <c r="AD32" i="8"/>
  <c r="Y32" i="8" s="1"/>
  <c r="Y31" i="8"/>
  <c r="AD31" i="8"/>
  <c r="AD30" i="8"/>
  <c r="Y30" i="8" s="1"/>
  <c r="AC29" i="8"/>
  <c r="Y29" i="8" s="1"/>
  <c r="AB29" i="8"/>
  <c r="AA29" i="8"/>
  <c r="Y28" i="8"/>
  <c r="AC27" i="8"/>
  <c r="Y27" i="8" s="1"/>
  <c r="Y26" i="8"/>
  <c r="Y25" i="8"/>
  <c r="Z24" i="8"/>
  <c r="Y24" i="8" s="1"/>
  <c r="AD23" i="8"/>
  <c r="Y34" i="8" l="1"/>
  <c r="Y23" i="8"/>
  <c r="E39" i="8"/>
  <c r="F39" i="8"/>
  <c r="H39" i="8"/>
  <c r="M39" i="8"/>
  <c r="M37" i="8"/>
  <c r="L37" i="8"/>
  <c r="L39" i="8" s="1"/>
  <c r="K37" i="8"/>
  <c r="K39" i="8" s="1"/>
  <c r="J37" i="8"/>
  <c r="J39" i="8" s="1"/>
  <c r="I36" i="8"/>
  <c r="I35" i="8"/>
  <c r="I34" i="8"/>
  <c r="I39" i="8" s="1"/>
  <c r="G36" i="8"/>
  <c r="G39" i="8" s="1"/>
  <c r="C37" i="8"/>
  <c r="D33" i="8"/>
  <c r="E13" i="8"/>
  <c r="F13" i="8"/>
  <c r="G13" i="8"/>
  <c r="H13" i="8"/>
  <c r="I13" i="8"/>
  <c r="J13" i="8"/>
  <c r="K13" i="8"/>
  <c r="L13" i="8"/>
  <c r="M13" i="8"/>
  <c r="C13" i="8"/>
  <c r="D4" i="8"/>
  <c r="D13" i="8" s="1"/>
  <c r="D39" i="8" l="1"/>
  <c r="C39" i="8"/>
  <c r="N35" i="8" s="1"/>
  <c r="AE34" i="8"/>
  <c r="Z34" i="8"/>
  <c r="AC34" i="8"/>
  <c r="AB34" i="8"/>
  <c r="AA34" i="8"/>
  <c r="AD34" i="8"/>
  <c r="N11" i="8"/>
  <c r="N5" i="8"/>
  <c r="N7" i="8"/>
  <c r="N9" i="8"/>
  <c r="N12" i="8"/>
  <c r="N10" i="8"/>
  <c r="N8" i="8"/>
  <c r="N4" i="8"/>
  <c r="N6" i="8"/>
  <c r="I14" i="7"/>
  <c r="N37" i="8" l="1"/>
  <c r="N34" i="8"/>
  <c r="N38" i="8"/>
  <c r="N36" i="8"/>
  <c r="N33" i="8"/>
  <c r="E14" i="7"/>
  <c r="L6" i="5" l="1"/>
  <c r="L5" i="5"/>
  <c r="L5" i="4"/>
  <c r="K5" i="4"/>
  <c r="T67" i="1"/>
  <c r="S67" i="1"/>
  <c r="M67" i="1"/>
  <c r="L67" i="1"/>
  <c r="F72" i="1"/>
  <c r="F67" i="1"/>
  <c r="G67" i="1"/>
  <c r="M73" i="1"/>
  <c r="G72" i="1"/>
  <c r="F7" i="6"/>
  <c r="F8" i="6"/>
  <c r="F9" i="6"/>
  <c r="T72" i="1" s="1"/>
  <c r="F10" i="6"/>
  <c r="F11" i="6"/>
  <c r="F12" i="6"/>
  <c r="F6" i="6"/>
  <c r="AF73" i="1"/>
  <c r="AF72" i="1"/>
  <c r="AE72" i="1"/>
  <c r="AE67" i="1"/>
  <c r="AF74" i="1" l="1"/>
  <c r="Z68" i="1"/>
  <c r="Z69" i="1" s="1"/>
  <c r="Z8" i="1"/>
  <c r="G9" i="1"/>
  <c r="M13" i="1"/>
  <c r="I6" i="2"/>
  <c r="J6" i="2" s="1"/>
  <c r="M8" i="1" s="1"/>
  <c r="K11" i="3" s="1"/>
  <c r="I7" i="2"/>
  <c r="J7" i="2" s="1"/>
  <c r="I8" i="2"/>
  <c r="J8" i="2" s="1"/>
  <c r="I5" i="2"/>
  <c r="J5" i="2" s="1"/>
  <c r="K6" i="4" l="1"/>
  <c r="K7" i="4"/>
  <c r="K8" i="4"/>
  <c r="K9" i="4"/>
  <c r="K10" i="4"/>
  <c r="K4" i="4"/>
  <c r="AF54" i="1"/>
  <c r="AF55" i="1" s="1"/>
  <c r="H8" i="5" s="1"/>
  <c r="Z57" i="1"/>
  <c r="Z56" i="1"/>
  <c r="Z52" i="1"/>
  <c r="Z55" i="1" s="1"/>
  <c r="T59" i="1"/>
  <c r="T56" i="1"/>
  <c r="T58" i="1" s="1"/>
  <c r="T54" i="1"/>
  <c r="M56" i="1"/>
  <c r="G56" i="1"/>
  <c r="G51" i="1"/>
  <c r="L9" i="4" l="1"/>
  <c r="L9" i="5" s="1"/>
  <c r="L4" i="4"/>
  <c r="L4" i="5" s="1"/>
  <c r="L7" i="4"/>
  <c r="L7" i="5" s="1"/>
  <c r="L10" i="4"/>
  <c r="L6" i="4"/>
  <c r="L8" i="4"/>
  <c r="L8" i="5" s="1"/>
  <c r="G8" i="5"/>
  <c r="Z58" i="1"/>
  <c r="G50" i="1"/>
  <c r="AF48" i="1"/>
  <c r="AF49" i="1" s="1"/>
  <c r="H9" i="5" s="1"/>
  <c r="Z48" i="1"/>
  <c r="Z49" i="1" s="1"/>
  <c r="G9" i="5" s="1"/>
  <c r="T49" i="1"/>
  <c r="T50" i="1" s="1"/>
  <c r="F9" i="5" s="1"/>
  <c r="M48" i="1"/>
  <c r="M49" i="1" s="1"/>
  <c r="E9" i="5" s="1"/>
  <c r="G48" i="1"/>
  <c r="G49" i="1" s="1"/>
  <c r="D9" i="5" s="1"/>
  <c r="M23" i="3"/>
  <c r="M22" i="3"/>
  <c r="J22" i="3"/>
  <c r="I22" i="3"/>
  <c r="H22" i="3"/>
  <c r="AF10" i="1"/>
  <c r="K22" i="3" s="1"/>
  <c r="AF7" i="1"/>
  <c r="G22" i="3" s="1"/>
  <c r="AF11" i="1"/>
  <c r="AF12" i="1" s="1"/>
  <c r="AF13" i="1" s="1"/>
  <c r="M20" i="3"/>
  <c r="M19" i="3"/>
  <c r="K19" i="3"/>
  <c r="H19" i="3"/>
  <c r="O9" i="5" l="1"/>
  <c r="N9" i="5"/>
  <c r="M9" i="5"/>
  <c r="Q9" i="5"/>
  <c r="P9" i="5"/>
  <c r="L11" i="5"/>
  <c r="I23" i="3"/>
  <c r="H23" i="3"/>
  <c r="G23" i="3"/>
  <c r="AF16" i="1" l="1"/>
  <c r="AF36" i="1" s="1"/>
  <c r="AF17" i="1"/>
  <c r="K23" i="3" s="1"/>
  <c r="AF39" i="1"/>
  <c r="AF37" i="1"/>
  <c r="Z10" i="1"/>
  <c r="Z14" i="1" s="1"/>
  <c r="M17" i="3"/>
  <c r="M16" i="3"/>
  <c r="M15" i="3"/>
  <c r="K15" i="3"/>
  <c r="T10" i="1"/>
  <c r="T15" i="1" s="1"/>
  <c r="M12" i="3"/>
  <c r="H11" i="3"/>
  <c r="M11" i="3"/>
  <c r="AF41" i="1" l="1"/>
  <c r="H4" i="5"/>
  <c r="T53" i="1"/>
  <c r="J23" i="3"/>
  <c r="J15" i="3"/>
  <c r="J19" i="3"/>
  <c r="Z12" i="1"/>
  <c r="Z16" i="1" s="1"/>
  <c r="T13" i="1"/>
  <c r="Z17" i="1" l="1"/>
  <c r="Z4" i="1" s="1"/>
  <c r="Z73" i="1" s="1"/>
  <c r="Z74" i="1" s="1"/>
  <c r="Z76" i="1" s="1"/>
  <c r="Z37" i="1"/>
  <c r="H6" i="5"/>
  <c r="I19" i="3"/>
  <c r="Z15" i="1"/>
  <c r="G19" i="3" s="1"/>
  <c r="T19" i="1"/>
  <c r="T27" i="1" s="1"/>
  <c r="T28" i="1" s="1"/>
  <c r="I15" i="3"/>
  <c r="T16" i="1"/>
  <c r="G15" i="3" s="1"/>
  <c r="T22" i="1" l="1"/>
  <c r="T23" i="1" s="1"/>
  <c r="T4" i="1"/>
  <c r="T73" i="1" s="1"/>
  <c r="Z41" i="1"/>
  <c r="Z39" i="1"/>
  <c r="Z77" i="1" s="1"/>
  <c r="G4" i="5" s="1"/>
  <c r="Z38" i="1"/>
  <c r="I20" i="3"/>
  <c r="I16" i="3"/>
  <c r="T3" i="1" l="1"/>
  <c r="T68" i="1" s="1"/>
  <c r="T69" i="1" s="1"/>
  <c r="T74" i="1" s="1"/>
  <c r="T76" i="1" s="1"/>
  <c r="T39" i="1"/>
  <c r="T25" i="1"/>
  <c r="J16" i="3" s="1"/>
  <c r="T24" i="1"/>
  <c r="G7" i="5"/>
  <c r="G6" i="5"/>
  <c r="Z40" i="1"/>
  <c r="Z78" i="1" s="1"/>
  <c r="G5" i="5" s="1"/>
  <c r="T41" i="1"/>
  <c r="T40" i="1"/>
  <c r="H20" i="3"/>
  <c r="Z20" i="1"/>
  <c r="Z22" i="1"/>
  <c r="K20" i="3" s="1"/>
  <c r="I17" i="3"/>
  <c r="H17" i="3"/>
  <c r="O14" i="1"/>
  <c r="O16" i="1" s="1"/>
  <c r="O20" i="1" s="1"/>
  <c r="O21" i="1" s="1"/>
  <c r="O24" i="1" s="1"/>
  <c r="O25" i="1" s="1"/>
  <c r="M10" i="1"/>
  <c r="M12" i="1" s="1"/>
  <c r="T26" i="1" l="1"/>
  <c r="G16" i="3" s="1"/>
  <c r="T78" i="1"/>
  <c r="F5" i="5" s="1"/>
  <c r="T77" i="1"/>
  <c r="F4" i="5" s="1"/>
  <c r="H16" i="3"/>
  <c r="T18" i="1"/>
  <c r="K16" i="3" s="1"/>
  <c r="M16" i="1"/>
  <c r="M14" i="1"/>
  <c r="M4" i="1" s="1"/>
  <c r="M74" i="1" s="1"/>
  <c r="G8" i="1"/>
  <c r="T42" i="1"/>
  <c r="T38" i="1"/>
  <c r="I8" i="3"/>
  <c r="G39" i="1"/>
  <c r="G40" i="1"/>
  <c r="T31" i="1"/>
  <c r="T32" i="1"/>
  <c r="K17" i="3" s="1"/>
  <c r="Z21" i="1"/>
  <c r="G20" i="3" s="1"/>
  <c r="J20" i="3"/>
  <c r="Z36" i="1"/>
  <c r="O18" i="1"/>
  <c r="O19" i="1" s="1"/>
  <c r="G68" i="1" l="1"/>
  <c r="G69" i="1" s="1"/>
  <c r="G12" i="1"/>
  <c r="G5" i="1" s="1"/>
  <c r="G73" i="1" s="1"/>
  <c r="G74" i="1" s="1"/>
  <c r="M52" i="1"/>
  <c r="M55" i="1" s="1"/>
  <c r="E8" i="5" s="1"/>
  <c r="M75" i="1"/>
  <c r="M17" i="1"/>
  <c r="M37" i="1"/>
  <c r="G4" i="1"/>
  <c r="G37" i="1" s="1"/>
  <c r="I11" i="3"/>
  <c r="M3" i="1"/>
  <c r="M68" i="1" s="1"/>
  <c r="F7" i="5"/>
  <c r="F6" i="5"/>
  <c r="J17" i="3"/>
  <c r="T55" i="1"/>
  <c r="T57" i="1" s="1"/>
  <c r="T33" i="1"/>
  <c r="G17" i="3" s="1"/>
  <c r="T37" i="1"/>
  <c r="J8" i="3"/>
  <c r="H8" i="3"/>
  <c r="M15" i="1"/>
  <c r="G11" i="3" s="1"/>
  <c r="J11" i="3"/>
  <c r="M81" i="1" l="1"/>
  <c r="M69" i="1"/>
  <c r="M77" i="1" s="1"/>
  <c r="M38" i="1"/>
  <c r="I12" i="3"/>
  <c r="M58" i="1"/>
  <c r="M20" i="1"/>
  <c r="M79" i="1"/>
  <c r="M78" i="1"/>
  <c r="M40" i="1"/>
  <c r="H12" i="3"/>
  <c r="M39" i="1"/>
  <c r="T61" i="1"/>
  <c r="F8" i="5"/>
  <c r="G13" i="1"/>
  <c r="G36" i="1"/>
  <c r="G38" i="1" s="1"/>
  <c r="M21" i="1"/>
  <c r="K12" i="3" s="1"/>
  <c r="M41" i="1" l="1"/>
  <c r="M83" i="1"/>
  <c r="E5" i="5" s="1"/>
  <c r="M82" i="1"/>
  <c r="E4" i="5" s="1"/>
  <c r="G8" i="3"/>
  <c r="C5" i="7" a="1"/>
  <c r="E7" i="5"/>
  <c r="E6" i="5"/>
  <c r="G41" i="1"/>
  <c r="G52" i="1"/>
  <c r="M36" i="1"/>
  <c r="N24" i="1"/>
  <c r="J12" i="3"/>
  <c r="M22" i="1"/>
  <c r="G12" i="3" l="1"/>
  <c r="G4" i="7" a="1"/>
  <c r="C5" i="7"/>
  <c r="E24" i="7"/>
  <c r="D26" i="7"/>
  <c r="D27" i="7" s="1"/>
  <c r="E32" i="7"/>
  <c r="E19" i="7"/>
  <c r="E22" i="7" s="1"/>
  <c r="E21" i="7"/>
  <c r="E23" i="7"/>
  <c r="D7" i="5"/>
  <c r="G55" i="1"/>
  <c r="I37" i="7" l="1"/>
  <c r="I23" i="7"/>
  <c r="I38" i="7"/>
  <c r="I28" i="7"/>
  <c r="I21" i="7"/>
  <c r="G4" i="7"/>
  <c r="I19" i="7"/>
  <c r="I22" i="7" s="1"/>
  <c r="H30" i="7"/>
  <c r="H31" i="7" s="1"/>
  <c r="I32" i="7" s="1"/>
  <c r="I24" i="7"/>
  <c r="D29" i="7"/>
  <c r="E28" i="7"/>
  <c r="P7" i="5"/>
  <c r="O7" i="5"/>
  <c r="N7" i="5"/>
  <c r="Q7" i="5"/>
  <c r="M7" i="5"/>
  <c r="N6" i="5"/>
  <c r="O6" i="5"/>
  <c r="Q6" i="5"/>
  <c r="M6" i="5"/>
  <c r="P6" i="5"/>
  <c r="G57" i="1"/>
  <c r="D8" i="5"/>
  <c r="G77" i="1"/>
  <c r="D4" i="5" s="1"/>
  <c r="G78" i="1"/>
  <c r="D5" i="5" s="1"/>
  <c r="I42" i="7" l="1"/>
  <c r="H42" i="7"/>
  <c r="H41" i="7"/>
  <c r="I41" i="7"/>
  <c r="I45" i="7"/>
  <c r="H45" i="7"/>
  <c r="H43" i="7"/>
  <c r="I43" i="7"/>
  <c r="I25" i="7"/>
  <c r="I26" i="7" s="1"/>
  <c r="H33" i="7"/>
  <c r="E31" i="7"/>
  <c r="E30" i="7"/>
  <c r="E33" i="7" s="1"/>
  <c r="P5" i="5"/>
  <c r="N5" i="5"/>
  <c r="O5" i="5"/>
  <c r="M5" i="5"/>
  <c r="M8" i="5"/>
  <c r="N8" i="5"/>
  <c r="P8" i="5"/>
  <c r="O8" i="5"/>
  <c r="Q8" i="5"/>
  <c r="O4" i="5"/>
  <c r="P4" i="5"/>
  <c r="N4" i="5"/>
  <c r="M4" i="5"/>
  <c r="Q4" i="5"/>
  <c r="Q11" i="5" s="1"/>
  <c r="O11" i="5" l="1"/>
  <c r="M11" i="5"/>
  <c r="I34" i="7"/>
  <c r="I35" i="7"/>
  <c r="P11" i="5"/>
  <c r="N11" i="5"/>
  <c r="I36" i="7" l="1"/>
  <c r="I39" i="7" s="1"/>
  <c r="H44" i="7" l="1"/>
  <c r="I44" i="7"/>
  <c r="I46" i="7"/>
  <c r="H4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F50" authorId="0" shapeId="0" xr:uid="{7964A894-656C-4DE2-9193-758DBDBC7F3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 docked in 3 hrs
</t>
        </r>
      </text>
    </comment>
    <comment ref="L50" authorId="0" shapeId="0" xr:uid="{621C8FA9-5FC9-4225-AB70-0FA1C35EA764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Y50" authorId="0" shapeId="0" xr:uid="{0FFB5F66-2186-42D0-B5E0-29F4B61C12B1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AE50" authorId="0" shapeId="0" xr:uid="{B103B3F7-DE84-48D0-8AB2-9A6EAD21AA0F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S51" authorId="0" shapeId="0" xr:uid="{4AB48D5D-DB46-40CF-95EA-1D7F3C0381E3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M53" authorId="0" shapeId="0" xr:uid="{E26F5107-DC12-4A0C-BA5B-1D5B93E886D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from https://ntrs.nasa.gov/api/citations/20150019648/downloads/20150019648.pdf
</t>
        </r>
      </text>
    </comment>
    <comment ref="M54" authorId="0" shapeId="0" xr:uid="{866DF405-32DD-43F7-935C-000D84CAE0F4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https://ntrs.nasa.gov/api/citations/20150019648/downloads/20150019648.pdf</t>
        </r>
      </text>
    </comment>
    <comment ref="T56" authorId="0" shapeId="0" xr:uid="{62738FD6-303C-4DF5-8A93-45A6763DDB6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Apollo took this long from seperation to landing
</t>
        </r>
      </text>
    </comment>
    <comment ref="T72" authorId="0" shapeId="0" xr:uid="{955580F0-B453-46DD-A1A5-039A780C073D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  <comment ref="Z72" authorId="0" shapeId="0" xr:uid="{6C63DCBA-89B3-46C0-AE34-CE9FC1012D77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  <comment ref="M73" authorId="0" shapeId="0" xr:uid="{16ACD8BD-A28C-4660-AA0E-C4B5FBA8B329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L2" authorId="0" shapeId="0" xr:uid="{B5BE05BE-DFB3-45DA-BBC0-B27DD704B9CE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https://www.quora.com/How-much-does-NASA-pay-per-kg-for-hydrogen-and-oxygen-in-rocket-fuel</t>
        </r>
      </text>
    </comment>
    <comment ref="L4" authorId="0" shapeId="0" xr:uid="{CF490A9F-2E83-4D72-A836-0216626CD9F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https://www.nextbigfuture.com/2022/02/spacex-reusable-rocket-costs-versus-airplanes.html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E17" authorId="0" shapeId="0" xr:uid="{BF6103A6-726F-4C2B-8F33-8E6C06415EC9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Fortescue
Using Li SOCL2 battery from Sojourner</t>
        </r>
      </text>
    </comment>
    <comment ref="I17" authorId="0" shapeId="0" xr:uid="{7925DAFD-38A3-41F7-BD5A-BA83751DBAF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Fortescue
Using Li SOCL2 battery from Sojourner</t>
        </r>
      </text>
    </comment>
    <comment ref="E19" authorId="0" shapeId="0" xr:uid="{10B7A68D-327C-4C9E-8D81-7FF2365D76DC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https://www.hq.nasa.gov/alsj/alsj-Tapemeters.html</t>
        </r>
      </text>
    </comment>
    <comment ref="I19" authorId="0" shapeId="0" xr:uid="{98CFFF89-A104-4D89-984A-10714AC6655E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https://www.hq.nasa.gov/alsj/alsj-Tapemeters.html</t>
        </r>
      </text>
    </comment>
    <comment ref="C27" authorId="0" shapeId="0" xr:uid="{FDC3B24B-BB7D-4176-B44B-C6F95872A53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Fotescue</t>
        </r>
      </text>
    </comment>
    <comment ref="G31" authorId="0" shapeId="0" xr:uid="{7D00E460-EF7D-491F-A5B5-01523DF8CCFA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Fotescue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<sst xmlns="http://schemas.openxmlformats.org/spreadsheetml/2006/main" count="884" uniqueCount="388">
  <si>
    <t>TV design ref</t>
  </si>
  <si>
    <t>Isp [s]</t>
  </si>
  <si>
    <t>TV</t>
  </si>
  <si>
    <t>Lander</t>
  </si>
  <si>
    <t>TV Isp</t>
  </si>
  <si>
    <t>Transfer dV req. [m/s]</t>
  </si>
  <si>
    <t>TV Ec [J]</t>
  </si>
  <si>
    <t>TV payload [kg]</t>
  </si>
  <si>
    <t>mdry [kg]</t>
  </si>
  <si>
    <t>mp [kg]</t>
  </si>
  <si>
    <t>dv [m/s]</t>
  </si>
  <si>
    <t>mprop [kg]</t>
  </si>
  <si>
    <t>mtotal [kg]</t>
  </si>
  <si>
    <t>Falcon 2s</t>
  </si>
  <si>
    <t>TV inert mass</t>
  </si>
  <si>
    <t>TV dry mass</t>
  </si>
  <si>
    <t>Characteristic energy of Upper Stages</t>
  </si>
  <si>
    <t>Stage name</t>
  </si>
  <si>
    <t>Dry mass</t>
  </si>
  <si>
    <t>prop mass</t>
  </si>
  <si>
    <t>Prop</t>
  </si>
  <si>
    <t>example payload kg</t>
  </si>
  <si>
    <t>Characteristic Energy</t>
  </si>
  <si>
    <t>sources</t>
  </si>
  <si>
    <t>DCSS 5m</t>
  </si>
  <si>
    <t>LOX/LH2</t>
  </si>
  <si>
    <t>Delta IV payload planners guide</t>
  </si>
  <si>
    <t>Centaur</t>
  </si>
  <si>
    <t>AtlasV user guide</t>
  </si>
  <si>
    <t>Starlink launch on 11/11/2019 Telemetry And Spaceflight Insider</t>
  </si>
  <si>
    <t>Ariane 5 2S</t>
  </si>
  <si>
    <t>VA237 Telemetry and Ariane 5 User Manual</t>
  </si>
  <si>
    <t>TV prop req</t>
  </si>
  <si>
    <t>LOPG-Surface-LOPG</t>
  </si>
  <si>
    <t>assume up=down</t>
  </si>
  <si>
    <t>notes</t>
  </si>
  <si>
    <t>Falcon Heavy</t>
  </si>
  <si>
    <t>contructor payload req</t>
  </si>
  <si>
    <t>Total TV mass</t>
  </si>
  <si>
    <t>dV to LEO + TLI to LOPG</t>
  </si>
  <si>
    <t>MA1</t>
  </si>
  <si>
    <t>TLV</t>
  </si>
  <si>
    <t>LEO-LOPG-Surface-LOPG-LEO
dV is from the landing case</t>
  </si>
  <si>
    <t>dV req [m/s]</t>
  </si>
  <si>
    <t>Launcher</t>
  </si>
  <si>
    <t>Ec [J]</t>
  </si>
  <si>
    <t>MA2</t>
  </si>
  <si>
    <t>without LEO refuelling</t>
  </si>
  <si>
    <t>LOX/CH4</t>
  </si>
  <si>
    <t>Ec[J]</t>
  </si>
  <si>
    <t>TV2</t>
  </si>
  <si>
    <t>falcon 2s (scaled)</t>
  </si>
  <si>
    <t>LOPG-LLO-LOPG</t>
  </si>
  <si>
    <t>TV engine mass</t>
  </si>
  <si>
    <t>mdry= (mdry_ref - mengine_ref)/(mprop_ref/mprop_req) + mengine_ref</t>
  </si>
  <si>
    <t>TV2 design ref</t>
  </si>
  <si>
    <t>TV2 payload [kg]</t>
  </si>
  <si>
    <t>TV2 dry mass 1</t>
  </si>
  <si>
    <t>TV2 dry mass 2</t>
  </si>
  <si>
    <t>TV2 dry mass 3</t>
  </si>
  <si>
    <t>TV2 total mass</t>
  </si>
  <si>
    <t>TV2 Isp</t>
  </si>
  <si>
    <t>TV1 Isp</t>
  </si>
  <si>
    <t>MA3</t>
  </si>
  <si>
    <t>TV2 prop req</t>
  </si>
  <si>
    <t>MA4</t>
  </si>
  <si>
    <t>regular launcher payload req</t>
  </si>
  <si>
    <t>LLO-surface-LLO</t>
  </si>
  <si>
    <t>cycle prop cost</t>
  </si>
  <si>
    <t>TV1</t>
  </si>
  <si>
    <t>TV2 Ec [J]</t>
  </si>
  <si>
    <t>property</t>
  </si>
  <si>
    <t>value</t>
  </si>
  <si>
    <t>building block</t>
  </si>
  <si>
    <t>ETV</t>
  </si>
  <si>
    <t>design ref</t>
  </si>
  <si>
    <t>gateway PPE</t>
  </si>
  <si>
    <t>dV req.</t>
  </si>
  <si>
    <t>mp</t>
  </si>
  <si>
    <t>m_inert[kg]</t>
  </si>
  <si>
    <t>m_dry</t>
  </si>
  <si>
    <t>m_p</t>
  </si>
  <si>
    <t>m_prop</t>
  </si>
  <si>
    <t>m_total</t>
  </si>
  <si>
    <t>Isp</t>
  </si>
  <si>
    <t>mdry</t>
  </si>
  <si>
    <t>mdr</t>
  </si>
  <si>
    <t>mprop</t>
  </si>
  <si>
    <t>mtotal</t>
  </si>
  <si>
    <t>Xenon</t>
  </si>
  <si>
    <t>MA5</t>
  </si>
  <si>
    <t>Falcon 2S</t>
  </si>
  <si>
    <t xml:space="preserve">mp </t>
  </si>
  <si>
    <t>dV req</t>
  </si>
  <si>
    <t>1.11*Tsiolkovsky</t>
  </si>
  <si>
    <t>cycle prop mass</t>
  </si>
  <si>
    <t>Construction Launches</t>
  </si>
  <si>
    <t>Launches Per cycle</t>
  </si>
  <si>
    <t>paylod per launch</t>
  </si>
  <si>
    <t>payload per launch</t>
  </si>
  <si>
    <t>#RDVs</t>
  </si>
  <si>
    <t>10 fuelings + 1 payload delivery</t>
  </si>
  <si>
    <t>Launcher-TV x2
TV-LOPG
Lander-LOPG</t>
  </si>
  <si>
    <t>Launcher-TV x2
TV1-LOPG
TV2-Lander
Lander-TV2
TV2-LOPG</t>
  </si>
  <si>
    <t>returned_payload_mass</t>
  </si>
  <si>
    <t>landed_payload_mass</t>
  </si>
  <si>
    <t>refuels per cycle</t>
  </si>
  <si>
    <t>TV in LEO
TV at LOPG
Lander at LOPG</t>
  </si>
  <si>
    <t>TV1 in LEO
TV1 at LOPG
TV2 at LOPG
Lander in LLO</t>
  </si>
  <si>
    <t>Launcher - ETV
ETV-LOPG
Lander - LOPG</t>
  </si>
  <si>
    <t>ETV in LEO
ETV at LOPG
Lander at LOPG</t>
  </si>
  <si>
    <t>Cryo_fuel?</t>
  </si>
  <si>
    <t>rad_hardening</t>
  </si>
  <si>
    <t>architecture_complexity</t>
  </si>
  <si>
    <t>payload mass bottleneck</t>
  </si>
  <si>
    <t>FOM</t>
  </si>
  <si>
    <t>Technological complexity</t>
  </si>
  <si>
    <t>COMPLEXITY</t>
  </si>
  <si>
    <t>subsystem_compexity</t>
  </si>
  <si>
    <t>MA1 - Sizing</t>
  </si>
  <si>
    <t>MA 2 - Sizing</t>
  </si>
  <si>
    <t>MA3 - Sizing</t>
  </si>
  <si>
    <t>MA4 - Sizing</t>
  </si>
  <si>
    <t>MA 5 - Sizing</t>
  </si>
  <si>
    <t>MA3 - FOMs</t>
  </si>
  <si>
    <t>MA1 - FOMs</t>
  </si>
  <si>
    <t>MA4 - FOMs</t>
  </si>
  <si>
    <t>MA5 - FOMs</t>
  </si>
  <si>
    <t>Figure</t>
  </si>
  <si>
    <t>payload</t>
  </si>
  <si>
    <t>04_complexity</t>
  </si>
  <si>
    <t>05_Delivery Time</t>
  </si>
  <si>
    <t>06_Flexibility</t>
  </si>
  <si>
    <t>07_cost</t>
  </si>
  <si>
    <t>Lander Dev cost</t>
  </si>
  <si>
    <t>total cost per cycle</t>
  </si>
  <si>
    <t>$/kg_landed</t>
  </si>
  <si>
    <t>$/kg_lifted</t>
  </si>
  <si>
    <t>assuming at least ten cycles before maintenance</t>
  </si>
  <si>
    <t>TLI</t>
  </si>
  <si>
    <t>LEO - 11 RDVs</t>
  </si>
  <si>
    <t>refuelling time [days]</t>
  </si>
  <si>
    <t>RDV time [days]</t>
  </si>
  <si>
    <t>Orbit 1 [days]</t>
  </si>
  <si>
    <t>Orbit 2 [days]</t>
  </si>
  <si>
    <t>Orbit 3 [days]</t>
  </si>
  <si>
    <t xml:space="preserve">ISS speed record benchmark </t>
  </si>
  <si>
    <t>Total [days]</t>
  </si>
  <si>
    <t>MA2 - FOMs</t>
  </si>
  <si>
    <t>refuelling rate [kg/s]</t>
  </si>
  <si>
    <t>Burn Time of falcon 2S. 187 seconds for 92670kg of fuel: 495kg/s.  
Choose a  rate 5 times slower</t>
  </si>
  <si>
    <t>LEO RDV time [days]</t>
  </si>
  <si>
    <t>LEO - w/ RDVs</t>
  </si>
  <si>
    <t>LOPG to landing</t>
  </si>
  <si>
    <t>Orbit 4 [days]</t>
  </si>
  <si>
    <t>Landing</t>
  </si>
  <si>
    <t>TLI return</t>
  </si>
  <si>
    <t>Delivery Time</t>
  </si>
  <si>
    <t>Orbit 5 [days]</t>
  </si>
  <si>
    <t>to LOPG + RDV</t>
  </si>
  <si>
    <t>TLI Return</t>
  </si>
  <si>
    <t>LLO to Landing</t>
  </si>
  <si>
    <t>LLO to LOPG + RDV</t>
  </si>
  <si>
    <t>TLI to LOPG+RDV</t>
  </si>
  <si>
    <t>LOPG to LLO + RDV + fuelling</t>
  </si>
  <si>
    <t>Orbit 6 [days]</t>
  </si>
  <si>
    <t>to LLO + RDV</t>
  </si>
  <si>
    <t>LOPG to Landing</t>
  </si>
  <si>
    <t>LEO</t>
  </si>
  <si>
    <t>LLO - landing</t>
  </si>
  <si>
    <t>TLI - Free Return</t>
  </si>
  <si>
    <t>Flexibility</t>
  </si>
  <si>
    <t>Total+1</t>
  </si>
  <si>
    <t>Cost [$/kg_landed]</t>
  </si>
  <si>
    <t>Landed_Payload [kg/launch]</t>
  </si>
  <si>
    <t>Returned_payload [kg/launch]</t>
  </si>
  <si>
    <t>Delivery_Time [days]</t>
  </si>
  <si>
    <t>System_complexity [#rdvs]</t>
  </si>
  <si>
    <t>Cost [$/kg_returned</t>
  </si>
  <si>
    <t>mp = 0.33212 * mdry</t>
  </si>
  <si>
    <t>mp = mdry/0.3321</t>
  </si>
  <si>
    <t>Constructor launcher ref</t>
  </si>
  <si>
    <t>regular launcher ref</t>
  </si>
  <si>
    <t>Telemetry dV [m/s]</t>
  </si>
  <si>
    <t>Tsiolkovsky dV [m/s]</t>
  </si>
  <si>
    <t>Centaur 3</t>
  </si>
  <si>
    <t>sets the dry mass of the lander</t>
  </si>
  <si>
    <t>Atlas V N22</t>
  </si>
  <si>
    <t>constructor launcher</t>
  </si>
  <si>
    <t>regular launcher</t>
  </si>
  <si>
    <t>Ariane 5 ESC</t>
  </si>
  <si>
    <t>mp = 0.3321* mdry</t>
  </si>
  <si>
    <t>mp = 0.3321*mdry</t>
  </si>
  <si>
    <t>mdry = 0.3435*mtotal</t>
  </si>
  <si>
    <t>TLI payload req</t>
  </si>
  <si>
    <t>Launcher Ref</t>
  </si>
  <si>
    <t>DDTE</t>
  </si>
  <si>
    <t>Construction</t>
  </si>
  <si>
    <t>Operation</t>
  </si>
  <si>
    <t>disposal</t>
  </si>
  <si>
    <t>Total LCC</t>
  </si>
  <si>
    <t>total cost per trip</t>
  </si>
  <si>
    <t>launch costs $/kg</t>
  </si>
  <si>
    <t>TV production cost $</t>
  </si>
  <si>
    <t>Lander production cost $</t>
  </si>
  <si>
    <t>construction launch costs</t>
  </si>
  <si>
    <t>total construction cost</t>
  </si>
  <si>
    <t>operational launch costs $</t>
  </si>
  <si>
    <t>initial construction mass</t>
  </si>
  <si>
    <t>fuel +payload per cycle</t>
  </si>
  <si>
    <t>total operation cost per cycle</t>
  </si>
  <si>
    <t>fuel production $</t>
  </si>
  <si>
    <t>operational launch cost $/kg</t>
  </si>
  <si>
    <t>TV production cost</t>
  </si>
  <si>
    <t>Lander Production Cost</t>
  </si>
  <si>
    <t>total LCC</t>
  </si>
  <si>
    <t>fuel production</t>
  </si>
  <si>
    <t>for one launch</t>
  </si>
  <si>
    <t>operational launch costs $/trip</t>
  </si>
  <si>
    <t>Launcher Database</t>
  </si>
  <si>
    <t>Per Launch cost</t>
  </si>
  <si>
    <t>Payload to LEO</t>
  </si>
  <si>
    <t>Atlas V 551</t>
  </si>
  <si>
    <t>Vega</t>
  </si>
  <si>
    <t>electron</t>
  </si>
  <si>
    <t>LOX</t>
  </si>
  <si>
    <t>LH2</t>
  </si>
  <si>
    <t>CH4</t>
  </si>
  <si>
    <t>RP1</t>
  </si>
  <si>
    <t>fuel</t>
  </si>
  <si>
    <t>$/kg</t>
  </si>
  <si>
    <t>Ariane 6 A64</t>
  </si>
  <si>
    <t>Falcon 9 FT</t>
  </si>
  <si>
    <t>SLS B1</t>
  </si>
  <si>
    <t>https://www.spacex.com/media/Capabilities&amp;Services.pdf</t>
  </si>
  <si>
    <t>https://www.rocketbuilder.com/start/configure</t>
  </si>
  <si>
    <t>https://www.lemonde.fr/economie/article/2014/12/01/les-europeens-s-appretent-a-mettre-ariane-6-en-chantier_4532259_3234.html</t>
  </si>
  <si>
    <t>https://www.whitehouse.gov/wp-content/uploads/2019/10/shelby-mega-approps-10-23-19.pdf</t>
  </si>
  <si>
    <t>wikipedia</t>
  </si>
  <si>
    <t>operational launch cost to TLI $/kg</t>
  </si>
  <si>
    <t>NA</t>
  </si>
  <si>
    <t>weightings</t>
  </si>
  <si>
    <t>Total Scores</t>
  </si>
  <si>
    <t>Cost of landed payload</t>
  </si>
  <si>
    <t>Cost of returned payload</t>
  </si>
  <si>
    <t>Ground station hours</t>
  </si>
  <si>
    <t>Lander 1</t>
  </si>
  <si>
    <t>Lander 2</t>
  </si>
  <si>
    <t>Lander 3</t>
  </si>
  <si>
    <t>Lander 4</t>
  </si>
  <si>
    <t>Lander 5</t>
  </si>
  <si>
    <t>STRUCTURE</t>
  </si>
  <si>
    <t>PROPULSION</t>
  </si>
  <si>
    <t>Engine</t>
  </si>
  <si>
    <t>Tanks</t>
  </si>
  <si>
    <t>RCS</t>
  </si>
  <si>
    <t>OF</t>
  </si>
  <si>
    <t>oxidizer density</t>
  </si>
  <si>
    <t>fuel desnity</t>
  </si>
  <si>
    <t>Fd</t>
  </si>
  <si>
    <t>relative propellant bulk density</t>
  </si>
  <si>
    <t>H/D</t>
  </si>
  <si>
    <t>height of diameter of the lander</t>
  </si>
  <si>
    <t>vh</t>
  </si>
  <si>
    <t>pressurized volume fraction</t>
  </si>
  <si>
    <t>Kdry</t>
  </si>
  <si>
    <t>d</t>
  </si>
  <si>
    <t>duration of active mission phase</t>
  </si>
  <si>
    <t>T [N]</t>
  </si>
  <si>
    <t>assume T/W at surface 1.78*mtot</t>
  </si>
  <si>
    <t>Km</t>
  </si>
  <si>
    <t>for unmanned vehicles</t>
  </si>
  <si>
    <t>1.83Watts/kg of dry mass using LRO as benchmark</t>
  </si>
  <si>
    <t>AVIONICS</t>
  </si>
  <si>
    <t>using manned rule</t>
  </si>
  <si>
    <t>OTHER</t>
  </si>
  <si>
    <t>30%Mdry</t>
  </si>
  <si>
    <t>POWER [W]</t>
  </si>
  <si>
    <t>0.95*Tsiolkovsky</t>
  </si>
  <si>
    <t>specific mass of power storage [kg/Wh] Li-SO2</t>
  </si>
  <si>
    <t>Power storage req LEO eclipse w/ DOD [Wh]</t>
  </si>
  <si>
    <t>battery mass 175Wh/kg</t>
  </si>
  <si>
    <t>Power generation solar arrays req</t>
  </si>
  <si>
    <t>Astra 2B solar arrays</t>
  </si>
  <si>
    <t>Astra 2B solar arrays 409W/m2</t>
  </si>
  <si>
    <t>52W/kg</t>
  </si>
  <si>
    <t>409W/m2</t>
  </si>
  <si>
    <t>175Wh/kg</t>
  </si>
  <si>
    <t>Structure</t>
  </si>
  <si>
    <t>Power</t>
  </si>
  <si>
    <t>Propulsion</t>
  </si>
  <si>
    <t>Avionics</t>
  </si>
  <si>
    <t>Other</t>
  </si>
  <si>
    <t>Propellant management hardware</t>
  </si>
  <si>
    <t>misc hardware</t>
  </si>
  <si>
    <t>assume T/W at surface 1.78*mtot [N]</t>
  </si>
  <si>
    <t>Lander Subsystem database</t>
  </si>
  <si>
    <t>Protection</t>
  </si>
  <si>
    <t>Control</t>
  </si>
  <si>
    <t>Environment</t>
  </si>
  <si>
    <t>Growth</t>
  </si>
  <si>
    <t>0503-CE&amp;R-3</t>
  </si>
  <si>
    <t>9508-HLR-1</t>
  </si>
  <si>
    <t>9205-FLO-1</t>
  </si>
  <si>
    <t>Apollo J-series</t>
  </si>
  <si>
    <t>0503-CE&amp;R-6</t>
  </si>
  <si>
    <t>0503-CE&amp;R-8</t>
  </si>
  <si>
    <t>0507-ESAS-A</t>
  </si>
  <si>
    <t>0507-ESAS-D</t>
  </si>
  <si>
    <t>0507-ESAS-F</t>
  </si>
  <si>
    <t>0507-ESAS-H</t>
  </si>
  <si>
    <t>0507-ESAS-J</t>
  </si>
  <si>
    <t>Avgs</t>
  </si>
  <si>
    <t>PROPULSION total</t>
  </si>
  <si>
    <t>POWER Total</t>
  </si>
  <si>
    <t>8801-EE-1</t>
  </si>
  <si>
    <t>Thermal Protection</t>
  </si>
  <si>
    <t>Robotic Lunar Lander Concept</t>
  </si>
  <si>
    <t>Low Cost Lunar Lander Concpet</t>
  </si>
  <si>
    <t>total</t>
  </si>
  <si>
    <t>Power depends not on weight but on application. Use rule of thumb and parametric sizing instead</t>
  </si>
  <si>
    <t>is thisan exponential relation?</t>
  </si>
  <si>
    <t>I don’t think so. See sheet 9</t>
  </si>
  <si>
    <t>THERMAL</t>
  </si>
  <si>
    <t>Thermal</t>
  </si>
  <si>
    <t>Ground Stations</t>
  </si>
  <si>
    <t>used to be 25k</t>
  </si>
  <si>
    <t>Engines(Scaled RL-10) from table 17.6 in the SMAD</t>
  </si>
  <si>
    <t>3 flight models</t>
  </si>
  <si>
    <t>launching three replacements</t>
  </si>
  <si>
    <t>60 cycles (4 lfights per year for 15 years)</t>
  </si>
  <si>
    <t>assuming 20 cycles per lander</t>
  </si>
  <si>
    <t>mp = 0.3321mdry</t>
  </si>
  <si>
    <t>https://www.rocketlabusa.com/updates/rocket-lab-usa-poised-to-change-the-space-industry/</t>
  </si>
  <si>
    <t>Subsystem sizing</t>
  </si>
  <si>
    <t>Spacecraft</t>
  </si>
  <si>
    <t>Robotic Lunar Lander</t>
  </si>
  <si>
    <t>Low Cost Lunar Lander</t>
  </si>
  <si>
    <t>dry mass [kg]</t>
  </si>
  <si>
    <t>Structure [kg]</t>
  </si>
  <si>
    <t>Propulsion [kg]</t>
  </si>
  <si>
    <t>Power [kg]</t>
  </si>
  <si>
    <t>Avionics [kg]</t>
  </si>
  <si>
    <t>Thermal [kg]</t>
  </si>
  <si>
    <t>Other [kg]</t>
  </si>
  <si>
    <t>Landed Payload</t>
  </si>
  <si>
    <t>Returned payload</t>
  </si>
  <si>
    <t>System complexity</t>
  </si>
  <si>
    <t>Weighting</t>
  </si>
  <si>
    <t>FOMs weighting</t>
  </si>
  <si>
    <t>before the lander is added</t>
  </si>
  <si>
    <t>60 cycles (1 flight per month for 15 years)</t>
  </si>
  <si>
    <t>Construction Launcher</t>
  </si>
  <si>
    <t>Regular Launcher</t>
  </si>
  <si>
    <t>reference vehicle</t>
  </si>
  <si>
    <t>Falcon 9</t>
  </si>
  <si>
    <t>Ariane ESC</t>
  </si>
  <si>
    <t xml:space="preserve">TV2 </t>
  </si>
  <si>
    <t>Falcon 2S - scaled</t>
  </si>
  <si>
    <t>Anteres</t>
  </si>
  <si>
    <t>https://www.gao.gov/assets/gao-17-609.pdf</t>
  </si>
  <si>
    <t>Gateway PPE</t>
  </si>
  <si>
    <t>falcon 2s</t>
  </si>
  <si>
    <t>Common Centaur</t>
  </si>
  <si>
    <t>bespoke</t>
  </si>
  <si>
    <t>Mission Architecture</t>
  </si>
  <si>
    <t>MA 1</t>
  </si>
  <si>
    <t>MA 2</t>
  </si>
  <si>
    <t>MA 3</t>
  </si>
  <si>
    <t>MA 4</t>
  </si>
  <si>
    <t>MA 5</t>
  </si>
  <si>
    <t>System</t>
  </si>
  <si>
    <t>Mission Architecture Sizing Results</t>
  </si>
  <si>
    <t>MA</t>
  </si>
  <si>
    <t>Cost 
[$/kg_landed]</t>
  </si>
  <si>
    <t>Landed_Payload 
[kg/launch]</t>
  </si>
  <si>
    <t>Returned_payload 
[kg/launch]</t>
  </si>
  <si>
    <t>Delivery_Time 
[days]</t>
  </si>
  <si>
    <t>System_complexity 
[#rdvs]</t>
  </si>
  <si>
    <t>Cost
[$/kg_returned]</t>
  </si>
  <si>
    <t>FOMs normalised scores</t>
  </si>
  <si>
    <t>Upper Stages</t>
  </si>
  <si>
    <t>Trade Off</t>
  </si>
  <si>
    <t>1-stage Transfer</t>
  </si>
  <si>
    <t>2-stage Transfer</t>
  </si>
  <si>
    <t>3-stage Transfer</t>
  </si>
  <si>
    <t>2-stage Electric Transfer</t>
  </si>
  <si>
    <t>Old Fashioned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</si>
</sst>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6" xfId="0" applyBorder="1"/>
    <xf numFmtId="1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4" borderId="0" xfId="0" applyFont="1" applyFill="1"/>
    <xf numFmtId="3" fontId="0" fillId="4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8" xfId="0" applyFill="1" applyBorder="1" applyAlignment="1">
      <alignment horizontal="right"/>
    </xf>
    <xf numFmtId="0" fontId="0" fillId="5" borderId="8" xfId="0" applyFill="1" applyBorder="1"/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2" xfId="0" applyBorder="1"/>
    <xf numFmtId="164" fontId="0" fillId="0" borderId="7" xfId="0" applyNumberFormat="1" applyBorder="1"/>
    <xf numFmtId="164" fontId="0" fillId="0" borderId="0" xfId="0" applyNumberFormat="1"/>
    <xf numFmtId="0" fontId="0" fillId="0" borderId="14" xfId="0" applyBorder="1" applyAlignment="1">
      <alignment horizontal="right"/>
    </xf>
    <xf numFmtId="0" fontId="0" fillId="0" borderId="14" xfId="0" applyBorder="1"/>
    <xf numFmtId="164" fontId="0" fillId="0" borderId="14" xfId="0" applyNumberFormat="1" applyBorder="1"/>
    <xf numFmtId="2" fontId="0" fillId="5" borderId="8" xfId="0" applyNumberFormat="1" applyFill="1" applyBorder="1"/>
    <xf numFmtId="2" fontId="0" fillId="0" borderId="0" xfId="0" applyNumberFormat="1"/>
    <xf numFmtId="0" fontId="0" fillId="0" borderId="15" xfId="0" applyBorder="1"/>
    <xf numFmtId="164" fontId="0" fillId="5" borderId="0" xfId="0" applyNumberFormat="1" applyFill="1"/>
    <xf numFmtId="0" fontId="6" fillId="0" borderId="1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19" xfId="0" applyNumberFormat="1" applyBorder="1" applyAlignment="1">
      <alignment horizontal="center"/>
    </xf>
    <xf numFmtId="3" fontId="0" fillId="7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1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0" xfId="0" applyBorder="1"/>
    <xf numFmtId="0" fontId="0" fillId="0" borderId="20" xfId="0" applyBorder="1" applyAlignment="1">
      <alignment horizontal="right"/>
    </xf>
    <xf numFmtId="3" fontId="0" fillId="0" borderId="7" xfId="0" applyNumberFormat="1" applyBorder="1"/>
    <xf numFmtId="3" fontId="0" fillId="0" borderId="20" xfId="0" applyNumberFormat="1" applyBorder="1" applyAlignment="1">
      <alignment horizontal="center"/>
    </xf>
    <xf numFmtId="3" fontId="0" fillId="0" borderId="14" xfId="0" applyNumberFormat="1" applyBorder="1"/>
    <xf numFmtId="3" fontId="0" fillId="0" borderId="20" xfId="0" applyNumberFormat="1" applyBorder="1"/>
    <xf numFmtId="3" fontId="0" fillId="5" borderId="0" xfId="0" applyNumberFormat="1" applyFill="1"/>
    <xf numFmtId="0" fontId="0" fillId="0" borderId="15" xfId="0" applyBorder="1" applyAlignment="1">
      <alignment horizontal="right"/>
    </xf>
    <xf numFmtId="3" fontId="0" fillId="0" borderId="15" xfId="0" applyNumberFormat="1" applyBorder="1"/>
    <xf numFmtId="0" fontId="6" fillId="6" borderId="7" xfId="0" applyFont="1" applyFill="1" applyBorder="1" applyAlignment="1">
      <alignment horizontal="center" vertical="center"/>
    </xf>
    <xf numFmtId="0" fontId="0" fillId="6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2" fontId="0" fillId="0" borderId="24" xfId="0" applyNumberFormat="1" applyBorder="1"/>
    <xf numFmtId="2" fontId="0" fillId="0" borderId="26" xfId="0" applyNumberFormat="1" applyBorder="1"/>
    <xf numFmtId="2" fontId="0" fillId="0" borderId="14" xfId="0" applyNumberFormat="1" applyBorder="1"/>
    <xf numFmtId="4" fontId="0" fillId="0" borderId="0" xfId="0" applyNumberFormat="1"/>
    <xf numFmtId="0" fontId="0" fillId="0" borderId="1" xfId="0" applyBorder="1"/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7" borderId="0" xfId="0" applyFill="1"/>
    <xf numFmtId="4" fontId="0" fillId="7" borderId="0" xfId="0" applyNumberFormat="1" applyFill="1"/>
    <xf numFmtId="2" fontId="0" fillId="7" borderId="0" xfId="0" applyNumberFormat="1" applyFill="1"/>
    <xf numFmtId="0" fontId="0" fillId="0" borderId="2" xfId="0" applyBorder="1" applyAlignment="1">
      <alignment horizontal="center"/>
    </xf>
    <xf numFmtId="0" fontId="0" fillId="7" borderId="14" xfId="0" applyFill="1" applyBorder="1"/>
    <xf numFmtId="2" fontId="0" fillId="7" borderId="14" xfId="0" applyNumberFormat="1" applyFill="1" applyBorder="1"/>
    <xf numFmtId="1" fontId="0" fillId="7" borderId="0" xfId="0" applyNumberFormat="1" applyFill="1"/>
    <xf numFmtId="10" fontId="0" fillId="0" borderId="0" xfId="0" applyNumberForma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3" fontId="0" fillId="9" borderId="0" xfId="0" applyNumberFormat="1" applyFill="1" applyAlignment="1">
      <alignment horizontal="center"/>
    </xf>
    <xf numFmtId="0" fontId="0" fillId="9" borderId="0" xfId="0" applyFill="1"/>
    <xf numFmtId="0" fontId="8" fillId="0" borderId="0" xfId="1"/>
    <xf numFmtId="0" fontId="0" fillId="9" borderId="0" xfId="0" applyFill="1" applyAlignment="1">
      <alignment horizontal="left"/>
    </xf>
    <xf numFmtId="1" fontId="0" fillId="9" borderId="0" xfId="0" applyNumberFormat="1" applyFill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2" fontId="0" fillId="8" borderId="2" xfId="0" applyNumberFormat="1" applyFill="1" applyBorder="1" applyAlignment="1">
      <alignment horizontal="left"/>
    </xf>
    <xf numFmtId="2" fontId="0" fillId="8" borderId="2" xfId="0" applyNumberForma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8" borderId="2" xfId="0" applyFill="1" applyBorder="1"/>
    <xf numFmtId="0" fontId="0" fillId="0" borderId="8" xfId="0" applyBorder="1" applyAlignment="1">
      <alignment horizontal="left"/>
    </xf>
    <xf numFmtId="11" fontId="0" fillId="9" borderId="0" xfId="0" applyNumberFormat="1" applyFill="1" applyAlignment="1">
      <alignment horizontal="center"/>
    </xf>
    <xf numFmtId="0" fontId="0" fillId="9" borderId="7" xfId="0" applyFill="1" applyBorder="1" applyAlignment="1">
      <alignment horizontal="left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left"/>
    </xf>
    <xf numFmtId="0" fontId="0" fillId="9" borderId="8" xfId="0" applyFill="1" applyBorder="1" applyAlignment="1">
      <alignment horizontal="center"/>
    </xf>
    <xf numFmtId="3" fontId="0" fillId="9" borderId="8" xfId="0" applyNumberFormat="1" applyFill="1" applyBorder="1" applyAlignment="1">
      <alignment horizontal="center"/>
    </xf>
    <xf numFmtId="11" fontId="0" fillId="9" borderId="8" xfId="0" applyNumberFormat="1" applyFill="1" applyBorder="1" applyAlignment="1">
      <alignment horizontal="center"/>
    </xf>
    <xf numFmtId="1" fontId="0" fillId="9" borderId="8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vertical="center"/>
    </xf>
    <xf numFmtId="0" fontId="0" fillId="8" borderId="2" xfId="0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8" borderId="10" xfId="0" applyFill="1" applyBorder="1"/>
    <xf numFmtId="0" fontId="0" fillId="8" borderId="11" xfId="0" applyFill="1" applyBorder="1" applyAlignment="1">
      <alignment horizontal="center"/>
    </xf>
    <xf numFmtId="0" fontId="0" fillId="0" borderId="10" xfId="0" applyBorder="1" applyAlignment="1">
      <alignment horizontal="left"/>
    </xf>
    <xf numFmtId="1" fontId="0" fillId="0" borderId="11" xfId="0" applyNumberFormat="1" applyBorder="1" applyAlignment="1">
      <alignment horizontal="center"/>
    </xf>
    <xf numFmtId="0" fontId="0" fillId="9" borderId="10" xfId="0" applyFill="1" applyBorder="1" applyAlignment="1">
      <alignment horizontal="left"/>
    </xf>
    <xf numFmtId="1" fontId="0" fillId="9" borderId="11" xfId="0" applyNumberFormat="1" applyFill="1" applyBorder="1" applyAlignment="1">
      <alignment horizontal="center"/>
    </xf>
    <xf numFmtId="3" fontId="0" fillId="9" borderId="1" xfId="0" applyNumberFormat="1" applyFill="1" applyBorder="1" applyAlignment="1">
      <alignment horizontal="left"/>
    </xf>
    <xf numFmtId="165" fontId="0" fillId="9" borderId="3" xfId="0" applyNumberFormat="1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3" fontId="0" fillId="8" borderId="30" xfId="0" applyNumberForma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1" fontId="0" fillId="0" borderId="34" xfId="0" applyNumberFormat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1" fontId="0" fillId="9" borderId="33" xfId="0" applyNumberFormat="1" applyFill="1" applyBorder="1" applyAlignment="1">
      <alignment horizontal="center"/>
    </xf>
    <xf numFmtId="1" fontId="0" fillId="9" borderId="34" xfId="0" applyNumberFormat="1" applyFill="1" applyBorder="1" applyAlignment="1">
      <alignment horizontal="center"/>
    </xf>
    <xf numFmtId="165" fontId="0" fillId="9" borderId="35" xfId="0" applyNumberFormat="1" applyFill="1" applyBorder="1" applyAlignment="1">
      <alignment horizontal="center"/>
    </xf>
    <xf numFmtId="165" fontId="0" fillId="9" borderId="36" xfId="0" applyNumberFormat="1" applyFill="1" applyBorder="1" applyAlignment="1">
      <alignment horizontal="center"/>
    </xf>
    <xf numFmtId="165" fontId="0" fillId="9" borderId="37" xfId="0" applyNumberFormat="1" applyFill="1" applyBorder="1" applyAlignment="1">
      <alignment horizontal="center"/>
    </xf>
    <xf numFmtId="0" fontId="5" fillId="8" borderId="36" xfId="0" applyFont="1" applyFill="1" applyBorder="1" applyAlignment="1">
      <alignment horizontal="center" vertical="center"/>
    </xf>
    <xf numFmtId="0" fontId="5" fillId="8" borderId="36" xfId="0" applyFont="1" applyFill="1" applyBorder="1" applyAlignment="1">
      <alignment horizontal="center" wrapText="1"/>
    </xf>
    <xf numFmtId="0" fontId="5" fillId="0" borderId="33" xfId="0" applyFont="1" applyBorder="1" applyAlignment="1">
      <alignment horizontal="center"/>
    </xf>
    <xf numFmtId="4" fontId="5" fillId="0" borderId="33" xfId="0" applyNumberFormat="1" applyFont="1" applyBorder="1" applyAlignment="1">
      <alignment horizontal="center"/>
    </xf>
    <xf numFmtId="0" fontId="5" fillId="9" borderId="33" xfId="0" applyFont="1" applyFill="1" applyBorder="1" applyAlignment="1">
      <alignment horizontal="center"/>
    </xf>
    <xf numFmtId="4" fontId="5" fillId="9" borderId="33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4" fontId="5" fillId="0" borderId="19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Trade Off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'Trade off Results'!$C$30:$C$34</c:f>
              <c:strCache>
                <c:ptCount val="5"/>
                <c:pt idx="0">
                  <c:v>MA1</c:v>
                </c:pt>
                <c:pt idx="1">
                  <c:v>MA2</c:v>
                </c:pt>
                <c:pt idx="2">
                  <c:v>MA3</c:v>
                </c:pt>
                <c:pt idx="3">
                  <c:v>MA4</c:v>
                </c:pt>
                <c:pt idx="4">
                  <c:v>MA5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'Trade off Results'!$C$41:$C$45</c:f>
              <c:strCache>
                <c:ptCount val="5"/>
                <c:pt idx="0">
                  <c:v>1-stage Transfer</c:v>
                </c:pt>
                <c:pt idx="1">
                  <c:v>2-stage Transfer</c:v>
                </c:pt>
                <c:pt idx="2">
                  <c:v>3-stage Transfer</c:v>
                </c:pt>
                <c:pt idx="3">
                  <c:v>2-stage Electric Transfer</c:v>
                </c:pt>
                <c:pt idx="4">
                  <c:v>Old Fashioned Way</c:v>
                </c:pt>
              </c:strCache>
            </c:strRef>
          </c:cat>
          <c:val>
            <c:numRef>
              <c:f>'Trade off Results'!$J$41:$J$45</c:f>
              <c:numCache>
                <c:formatCode>0.00</c:formatCode>
                <c:ptCount val="5"/>
                <c:pt idx="0">
                  <c:v>50.823942135669071</c:v>
                </c:pt>
                <c:pt idx="1">
                  <c:v>67.869780144619867</c:v>
                </c:pt>
                <c:pt idx="2">
                  <c:v>63.182698877207763</c:v>
                </c:pt>
                <c:pt idx="3">
                  <c:v>60.701934945229723</c:v>
                </c:pt>
                <c:pt idx="4">
                  <c:v>38.078864752553187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F80-42F4-BFA7-632C0CE0C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axId val="393211352"/>
        <c:axId val="393210040"/>
      </c:barChart>
      <c:catAx>
        <c:axId val="393211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10040"/>
        <c:crosses val="autoZero"/>
        <c:auto val="1"/>
        <c:lblAlgn val="ctr"/>
        <c:lblOffset val="100"/>
        <c:noMultiLvlLbl val="0"/>
      </c:catAx>
      <c:valAx>
        <c:axId val="39321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Normalised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1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347550306211727E-2"/>
          <c:y val="3.2407407407407406E-2"/>
          <c:w val="0.56597156605424326"/>
          <c:h val="0.9432859434237387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36-48D7-ABB9-D8CC852E0B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36-48D7-ABB9-D8CC852E0B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36-48D7-ABB9-D8CC852E0B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936-48D7-ABB9-D8CC852E0B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936-48D7-ABB9-D8CC852E0B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936-48D7-ABB9-D8CC852E0B8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936-48D7-ABB9-D8CC852E0B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936-48D7-ABB9-D8CC852E0B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936-48D7-ABB9-D8CC852E0B88}"/>
              </c:ext>
            </c:extLst>
          </c:dPt>
          <c:cat>
            <c:strRef>
              <c:f>'Lander SS DB'!$B$4:$B$12</c:f>
              <c:strCache>
                <c:ptCount val="9"/>
                <c:pt idx="0">
                  <c:v>Structure</c:v>
                </c:pt>
                <c:pt idx="1">
                  <c:v>Propulsion</c:v>
                </c:pt>
                <c:pt idx="2">
                  <c:v>Power</c:v>
                </c:pt>
                <c:pt idx="3">
                  <c:v>Environment</c:v>
                </c:pt>
                <c:pt idx="4">
                  <c:v>Avionics</c:v>
                </c:pt>
                <c:pt idx="5">
                  <c:v>Protection</c:v>
                </c:pt>
                <c:pt idx="6">
                  <c:v>Control</c:v>
                </c:pt>
                <c:pt idx="7">
                  <c:v>Growth</c:v>
                </c:pt>
                <c:pt idx="8">
                  <c:v>Other</c:v>
                </c:pt>
              </c:strCache>
            </c:strRef>
          </c:cat>
          <c:val>
            <c:numRef>
              <c:f>'Lander SS DB'!$N$4:$N$12</c:f>
              <c:numCache>
                <c:formatCode>0.0%</c:formatCode>
                <c:ptCount val="9"/>
                <c:pt idx="0">
                  <c:v>0.37014532844659487</c:v>
                </c:pt>
                <c:pt idx="1">
                  <c:v>0.34123750733279873</c:v>
                </c:pt>
                <c:pt idx="2">
                  <c:v>8.7934384233271795E-2</c:v>
                </c:pt>
                <c:pt idx="3">
                  <c:v>7.4395391683574716E-2</c:v>
                </c:pt>
                <c:pt idx="4">
                  <c:v>7.147303593116229E-2</c:v>
                </c:pt>
                <c:pt idx="5">
                  <c:v>3.6121321715668599E-2</c:v>
                </c:pt>
                <c:pt idx="6">
                  <c:v>1.869303065692907E-2</c:v>
                </c:pt>
                <c:pt idx="7">
                  <c:v>0.16093587142352273</c:v>
                </c:pt>
                <c:pt idx="8">
                  <c:v>0.11237345876679818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E-4E2A-B318-FB508813E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686286089238855"/>
          <c:y val="5.4397054534849811E-2"/>
          <c:w val="0.26905183727034115"/>
          <c:h val="0.83449183435403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347550306211727E-2"/>
          <c:y val="3.2407407407407406E-2"/>
          <c:w val="0.56597156605424326"/>
          <c:h val="0.9432859434237387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C8-42DB-86E3-2DB1261987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C8-42DB-86E3-2DB1261987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C8-42DB-86E3-2DB1261987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9C8-42DB-86E3-2DB1261987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9C8-42DB-86E3-2DB12619878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9C8-42DB-86E3-2DB12619878D}"/>
              </c:ext>
            </c:extLst>
          </c:dPt>
          <c:dLbls>
            <c:dLbl>
              <c:idx val="0"/>
              <c:layout>
                <c:manualLayout>
                  <c:x val="-8.1741511180335943E-3"/>
                  <c:y val="1.3294692330125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C8-42DB-86E3-2DB12619878D}"/>
                </c:ext>
              </c:extLst>
            </c:dLbl>
            <c:dLbl>
              <c:idx val="1"/>
              <c:layout>
                <c:manualLayout>
                  <c:x val="6.1088851138684931E-2"/>
                  <c:y val="-6.6712962962962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C8-42DB-86E3-2DB12619878D}"/>
                </c:ext>
              </c:extLst>
            </c:dLbl>
            <c:dLbl>
              <c:idx val="2"/>
              <c:layout>
                <c:manualLayout>
                  <c:x val="1.4151920450049887E-3"/>
                  <c:y val="4.38903470399533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C8-42DB-86E3-2DB12619878D}"/>
                </c:ext>
              </c:extLst>
            </c:dLbl>
            <c:dLbl>
              <c:idx val="3"/>
              <c:layout>
                <c:manualLayout>
                  <c:x val="-3.0265251510906647E-2"/>
                  <c:y val="3.1260917596737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9C8-42DB-86E3-2DB12619878D}"/>
                </c:ext>
              </c:extLst>
            </c:dLbl>
            <c:dLbl>
              <c:idx val="4"/>
              <c:layout>
                <c:manualLayout>
                  <c:x val="-3.6169388247646959E-3"/>
                  <c:y val="-2.08942839126691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9C8-42DB-86E3-2DB12619878D}"/>
                </c:ext>
              </c:extLst>
            </c:dLbl>
            <c:dLbl>
              <c:idx val="5"/>
              <c:layout>
                <c:manualLayout>
                  <c:x val="-8.251811346293085E-2"/>
                  <c:y val="1.157407407407407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9C8-42DB-86E3-2DB1261987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'Lander SS DB'!$B$33:$B$38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Power</c:v>
                </c:pt>
                <c:pt idx="3">
                  <c:v>Avionics</c:v>
                </c:pt>
                <c:pt idx="4">
                  <c:v>Thermal Protection</c:v>
                </c:pt>
                <c:pt idx="5">
                  <c:v>Other</c:v>
                </c:pt>
              </c:strCache>
            </c:strRef>
          </c:cat>
          <c:val>
            <c:numRef>
              <c:f>'Lander SS DB'!$N$33:$N$38</c:f>
              <c:numCache>
                <c:formatCode>0.0%</c:formatCode>
                <c:ptCount val="6"/>
                <c:pt idx="0">
                  <c:v>0.2756065027505068</c:v>
                </c:pt>
                <c:pt idx="1">
                  <c:v>0.33656889746635571</c:v>
                </c:pt>
                <c:pt idx="2">
                  <c:v>7.5969434172969447E-2</c:v>
                </c:pt>
                <c:pt idx="3">
                  <c:v>8.8006031540638602E-2</c:v>
                </c:pt>
                <c:pt idx="4">
                  <c:v>0.12981427818868393</c:v>
                </c:pt>
                <c:pt idx="5">
                  <c:v>9.4034855880845494E-2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9C8-42DB-86E3-2DB126198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683370785926694"/>
          <c:y val="5.439692059974547E-2"/>
          <c:w val="0.35428679728240364"/>
          <c:h val="0.91812819090174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7843963254593176"/>
                  <c:y val="-0.191282808398950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'Lander SS DB'!$C$33:$M$33</c:f>
              <c:numCache>
                <c:formatCode>General</c:formatCode>
                <c:ptCount val="11"/>
                <c:pt idx="0">
                  <c:v>460</c:v>
                </c:pt>
                <c:pt idx="1">
                  <c:v>532.9</c:v>
                </c:pt>
                <c:pt idx="2">
                  <c:v>1681</c:v>
                </c:pt>
                <c:pt idx="3" formatCode="#,##0">
                  <c:v>1770</c:v>
                </c:pt>
                <c:pt idx="4" formatCode="#,##0">
                  <c:v>2822</c:v>
                </c:pt>
                <c:pt idx="5" formatCode="#,##0">
                  <c:v>1186.3399999999999</c:v>
                </c:pt>
                <c:pt idx="6" formatCode="#,##0">
                  <c:v>45</c:v>
                </c:pt>
                <c:pt idx="7" formatCode="#,##0">
                  <c:v>2015</c:v>
                </c:pt>
                <c:pt idx="8" formatCode="#,##0">
                  <c:v>1985</c:v>
                </c:pt>
                <c:pt idx="9" formatCode="#,##0">
                  <c:v>1877</c:v>
                </c:pt>
                <c:pt idx="10" formatCode="#,##0">
                  <c:v>1860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48-497C-9A84-5DE5C5E80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Structure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Propulsion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'Lander SS DB'!$C$34:$M$34</c:f>
              <c:numCache>
                <c:formatCode>General</c:formatCode>
                <c:ptCount val="11"/>
                <c:pt idx="0">
                  <c:v>495</c:v>
                </c:pt>
                <c:pt idx="1">
                  <c:v>252.5</c:v>
                </c:pt>
                <c:pt idx="2">
                  <c:v>4258</c:v>
                </c:pt>
                <c:pt idx="3" formatCode="#,##0">
                  <c:v>4969</c:v>
                </c:pt>
                <c:pt idx="4" formatCode="#,##0">
                  <c:v>1749</c:v>
                </c:pt>
                <c:pt idx="5">
                  <c:v>918.21</c:v>
                </c:pt>
                <c:pt idx="6" formatCode="#,##0">
                  <c:v>191.44</c:v>
                </c:pt>
                <c:pt idx="7" formatCode="#,##0">
                  <c:v>2425</c:v>
                </c:pt>
                <c:pt idx="8" formatCode="#,##0">
                  <c:v>2347</c:v>
                </c:pt>
                <c:pt idx="9" formatCode="#,##0">
                  <c:v>1125</c:v>
                </c:pt>
                <c:pt idx="10" formatCode="#,##0">
                  <c:v>1095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Structure</c:v>
                </c15:tx>
              </c15:filteredSeriesTitle>
            </c:ext>
            <c:ext xmlns:c16="http://schemas.microsoft.com/office/drawing/2014/chart" uri="{C3380CC4-5D6E-409C-BE32-E72D297353CC}">
              <c16:uniqueId val="{00000001-ABC4-4D19-B92C-43A397337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Propulsion ss weight</a:t>
                </a:r>
              </a:p>
            </c:rich>
          </c:tx>
          <c:layout>
            <c:manualLayout>
              <c:xMode val="edge"/>
              <c:yMode val="edge"/>
              <c:x val="3.0609141638160944E-2"/>
              <c:y val="0.289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40244969378829"/>
          <c:y val="0.17171296296296298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DB'!$H$39:$M$39</c:f>
              <c:numCache>
                <c:formatCode>General</c:formatCode>
                <c:ptCount val="6"/>
                <c:pt idx="0">
                  <c:v>3485.29</c:v>
                </c:pt>
                <c:pt idx="1">
                  <c:v>353.70000000000005</c:v>
                </c:pt>
                <c:pt idx="2">
                  <c:v>7542</c:v>
                </c:pt>
                <c:pt idx="3">
                  <c:v>7412</c:v>
                </c:pt>
                <c:pt idx="4">
                  <c:v>5970</c:v>
                </c:pt>
                <c:pt idx="5">
                  <c:v>5912</c:v>
                </c:pt>
              </c:numCache>
            </c:numRef>
          </c:xVal>
          <c:yVal>
            <c:numRef>
              <c:f>'Lander SS DB'!$H$35:$M$35</c:f>
              <c:numCache>
                <c:formatCode>General</c:formatCode>
                <c:ptCount val="6"/>
                <c:pt idx="0">
                  <c:v>663</c:v>
                </c:pt>
                <c:pt idx="1">
                  <c:v>41.18</c:v>
                </c:pt>
                <c:pt idx="2">
                  <c:v>553</c:v>
                </c:pt>
                <c:pt idx="3">
                  <c:v>553</c:v>
                </c:pt>
                <c:pt idx="4">
                  <c:v>553</c:v>
                </c:pt>
                <c:pt idx="5">
                  <c:v>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9-4FAB-8AD5-210F40A20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 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Avionics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11008773891"/>
          <c:y val="0.17171296296296298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'Lander SS DB'!$B$36</c:f>
              <c:strCache>
                <c:ptCount val="1"/>
                <c:pt idx="0">
                  <c:v>Avionics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'Lander SS DB'!$C$36:$M$36</c:f>
              <c:numCache>
                <c:formatCode>General</c:formatCode>
                <c:ptCount val="11"/>
                <c:pt idx="0" formatCode="#,##0">
                  <c:v>29</c:v>
                </c:pt>
                <c:pt idx="1">
                  <c:v>120.1</c:v>
                </c:pt>
                <c:pt idx="2">
                  <c:v>934</c:v>
                </c:pt>
                <c:pt idx="3">
                  <c:v>307</c:v>
                </c:pt>
                <c:pt idx="4">
                  <c:v>1083</c:v>
                </c:pt>
                <c:pt idx="5">
                  <c:v>258.7</c:v>
                </c:pt>
                <c:pt idx="6" formatCode="#,##0">
                  <c:v>76.080000000000013</c:v>
                </c:pt>
                <c:pt idx="7">
                  <c:v>594</c:v>
                </c:pt>
                <c:pt idx="8">
                  <c:v>594</c:v>
                </c:pt>
                <c:pt idx="9" formatCode="#,##0">
                  <c:v>594</c:v>
                </c:pt>
                <c:pt idx="10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61-4AB0-9DE1-B1194AA64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AVionics 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20630558407"/>
          <c:y val="0.19486111111111112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'Lander SS DB'!$B$37</c:f>
              <c:strCache>
                <c:ptCount val="1"/>
                <c:pt idx="0">
                  <c:v>Thermal Protection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312452633251885"/>
                  <c:y val="-0.37924139690871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'Lander SS DB'!$C$39:$M$39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'Lander SS DB'!$C$37:$M$37</c:f>
              <c:numCache>
                <c:formatCode>#,##0</c:formatCode>
                <c:ptCount val="11"/>
                <c:pt idx="0" formatCode="General">
                  <c:v>404</c:v>
                </c:pt>
                <c:pt idx="1">
                  <c:v>113.5</c:v>
                </c:pt>
                <c:pt idx="2" formatCode="General">
                  <c:v>2017</c:v>
                </c:pt>
                <c:pt idx="3" formatCode="General">
                  <c:v>420</c:v>
                </c:pt>
                <c:pt idx="4" formatCode="General">
                  <c:v>0</c:v>
                </c:pt>
                <c:pt idx="5" formatCode="General">
                  <c:v>459.04</c:v>
                </c:pt>
                <c:pt idx="6">
                  <c:v>0</c:v>
                </c:pt>
                <c:pt idx="7" formatCode="General">
                  <c:v>1072</c:v>
                </c:pt>
                <c:pt idx="8">
                  <c:v>1066</c:v>
                </c:pt>
                <c:pt idx="9" formatCode="General">
                  <c:v>1049</c:v>
                </c:pt>
                <c:pt idx="10" formatCode="General">
                  <c:v>1046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1-41B6-A1B3-E76D269C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 Protection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Propulsion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7.7957567804024602E-2"/>
                  <c:y val="-0.29297608632254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('Lander SS DB'!$C$39:$D$39,'Lander SS DB'!$G$39:$M$39)</c:f>
              <c:numCache>
                <c:formatCode>General</c:formatCode>
                <c:ptCount val="9"/>
                <c:pt idx="0">
                  <c:v>2027</c:v>
                </c:pt>
                <c:pt idx="1">
                  <c:v>1200.7</c:v>
                </c:pt>
                <c:pt idx="2">
                  <c:v>5858</c:v>
                </c:pt>
                <c:pt idx="3">
                  <c:v>3485.29</c:v>
                </c:pt>
                <c:pt idx="4">
                  <c:v>353.70000000000005</c:v>
                </c:pt>
                <c:pt idx="5">
                  <c:v>7542</c:v>
                </c:pt>
                <c:pt idx="6">
                  <c:v>7412</c:v>
                </c:pt>
                <c:pt idx="7">
                  <c:v>5970</c:v>
                </c:pt>
                <c:pt idx="8">
                  <c:v>5912</c:v>
                </c:pt>
              </c:numCache>
            </c:numRef>
          </c:xVal>
          <c:yVal>
            <c:numRef>
              <c:f>('Lander SS DB'!$C$34:$D$34,'Lander SS DB'!$G$34:$M$34)</c:f>
              <c:numCache>
                <c:formatCode>General</c:formatCode>
                <c:ptCount val="9"/>
                <c:pt idx="0">
                  <c:v>495</c:v>
                </c:pt>
                <c:pt idx="1">
                  <c:v>252.5</c:v>
                </c:pt>
                <c:pt idx="2" formatCode="#,##0">
                  <c:v>1749</c:v>
                </c:pt>
                <c:pt idx="3">
                  <c:v>918.21</c:v>
                </c:pt>
                <c:pt idx="4" formatCode="#,##0">
                  <c:v>191.44</c:v>
                </c:pt>
                <c:pt idx="5" formatCode="#,##0">
                  <c:v>2425</c:v>
                </c:pt>
                <c:pt idx="6" formatCode="#,##0">
                  <c:v>2347</c:v>
                </c:pt>
                <c:pt idx="7" formatCode="#,##0">
                  <c:v>1125</c:v>
                </c:pt>
                <c:pt idx="8" formatCode="#,##0">
                  <c:v>1095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Structure</c:v>
                </c15:tx>
              </c15:filteredSeriesTitle>
            </c:ext>
            <c:ext xmlns:c16="http://schemas.microsoft.com/office/drawing/2014/chart" uri="{C3380CC4-5D6E-409C-BE32-E72D297353CC}">
              <c16:uniqueId val="{00000001-9D21-48F1-9CD7-86CD0F2BE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Propulsion ss weight</a:t>
                </a:r>
              </a:p>
            </c:rich>
          </c:tx>
          <c:layout>
            <c:manualLayout>
              <c:xMode val="edge"/>
              <c:yMode val="edge"/>
              <c:x val="3.0609141638160944E-2"/>
              <c:y val="0.289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4624234470691165E-2"/>
                  <c:y val="-0.212494531933508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('Lander SS DB'!$C$39:$D$39,'Lander SS DB'!$G$39:$M$39)</c:f>
              <c:numCache>
                <c:formatCode>General</c:formatCode>
                <c:ptCount val="9"/>
                <c:pt idx="0">
                  <c:v>2027</c:v>
                </c:pt>
                <c:pt idx="1">
                  <c:v>1200.7</c:v>
                </c:pt>
                <c:pt idx="2">
                  <c:v>5858</c:v>
                </c:pt>
                <c:pt idx="3">
                  <c:v>3485.29</c:v>
                </c:pt>
                <c:pt idx="4">
                  <c:v>353.70000000000005</c:v>
                </c:pt>
                <c:pt idx="5">
                  <c:v>7542</c:v>
                </c:pt>
                <c:pt idx="6">
                  <c:v>7412</c:v>
                </c:pt>
                <c:pt idx="7">
                  <c:v>5970</c:v>
                </c:pt>
                <c:pt idx="8">
                  <c:v>5912</c:v>
                </c:pt>
              </c:numCache>
            </c:numRef>
          </c:xVal>
          <c:yVal>
            <c:numRef>
              <c:f>('Lander SS DB'!$C$33:$D$33,'Lander SS DB'!$G$33:$M$33)</c:f>
              <c:numCache>
                <c:formatCode>General</c:formatCode>
                <c:ptCount val="9"/>
                <c:pt idx="0">
                  <c:v>460</c:v>
                </c:pt>
                <c:pt idx="1">
                  <c:v>532.9</c:v>
                </c:pt>
                <c:pt idx="2" formatCode="#,##0">
                  <c:v>2822</c:v>
                </c:pt>
                <c:pt idx="3" formatCode="#,##0">
                  <c:v>1186.3399999999999</c:v>
                </c:pt>
                <c:pt idx="4" formatCode="#,##0">
                  <c:v>45</c:v>
                </c:pt>
                <c:pt idx="5" formatCode="#,##0">
                  <c:v>2015</c:v>
                </c:pt>
                <c:pt idx="6" formatCode="#,##0">
                  <c:v>1985</c:v>
                </c:pt>
                <c:pt idx="7" formatCode="#,##0">
                  <c:v>1877</c:v>
                </c:pt>
                <c:pt idx="8" formatCode="#,##0">
                  <c:v>1860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D0-42E3-845D-2E495A13B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Structure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20630558407"/>
          <c:y val="0.19486111111111112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'Lander SS DB'!$B$37</c:f>
              <c:strCache>
                <c:ptCount val="1"/>
                <c:pt idx="0">
                  <c:v>Thermal Protection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6122557451952446E-2"/>
                  <c:y val="-0.208211577719451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('Lander SS DB'!$C$39:$D$39,'Lander SS DB'!$H$39:$M$39)</c:f>
              <c:numCache>
                <c:formatCode>General</c:formatCode>
                <c:ptCount val="8"/>
                <c:pt idx="0">
                  <c:v>2027</c:v>
                </c:pt>
                <c:pt idx="1">
                  <c:v>1200.7</c:v>
                </c:pt>
                <c:pt idx="2">
                  <c:v>3485.29</c:v>
                </c:pt>
                <c:pt idx="3">
                  <c:v>353.70000000000005</c:v>
                </c:pt>
                <c:pt idx="4">
                  <c:v>7542</c:v>
                </c:pt>
                <c:pt idx="5">
                  <c:v>7412</c:v>
                </c:pt>
                <c:pt idx="6">
                  <c:v>5970</c:v>
                </c:pt>
                <c:pt idx="7">
                  <c:v>5912</c:v>
                </c:pt>
              </c:numCache>
            </c:numRef>
          </c:xVal>
          <c:yVal>
            <c:numRef>
              <c:f>('Lander SS DB'!$C$37:$D$37,'Lander SS DB'!$H$37:$M$37)</c:f>
              <c:numCache>
                <c:formatCode>#,##0</c:formatCode>
                <c:ptCount val="8"/>
                <c:pt idx="0" formatCode="General">
                  <c:v>404</c:v>
                </c:pt>
                <c:pt idx="1">
                  <c:v>113.5</c:v>
                </c:pt>
                <c:pt idx="2" formatCode="General">
                  <c:v>459.04</c:v>
                </c:pt>
                <c:pt idx="3">
                  <c:v>0</c:v>
                </c:pt>
                <c:pt idx="4" formatCode="General">
                  <c:v>1072</c:v>
                </c:pt>
                <c:pt idx="5">
                  <c:v>1066</c:v>
                </c:pt>
                <c:pt idx="6" formatCode="General">
                  <c:v>1049</c:v>
                </c:pt>
                <c:pt idx="7" formatCode="General">
                  <c:v>1046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3F-4047-8346-91269769F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 Protection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ORLA Subsystem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7388451443572"/>
          <c:y val="0.1300462962962963"/>
          <c:w val="0.47509689413823269"/>
          <c:h val="0.79182815689705455"/>
        </c:manualLayout>
      </c:layout>
      <c:pieChart>
        <c:varyColors val="1"/>
        <c:ser>
          <c:idx val="0"/>
          <c:order val="0"/>
          <c:tx>
            <c:strRef>
              <c:f>'Subsystem Sizing'!$G$41:$G$46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Thermal</c:v>
                </c:pt>
                <c:pt idx="3">
                  <c:v>Power</c:v>
                </c:pt>
                <c:pt idx="4">
                  <c:v>Avionics</c:v>
                </c:pt>
                <c:pt idx="5">
                  <c:v>Other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FA-4F21-BB34-F82774BC11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FA-4F21-BB34-F82774BC11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FA-4F21-BB34-F82774BC11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FFA-4F21-BB34-F82774BC11B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FFA-4F21-BB34-F82774BC11B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FFA-4F21-BB34-F82774BC11B9}"/>
              </c:ext>
            </c:extLst>
          </c:dPt>
          <c:dLbls>
            <c:dLbl>
              <c:idx val="4"/>
              <c:layout>
                <c:manualLayout>
                  <c:x val="-7.3237024407309288E-3"/>
                  <c:y val="-1.83165645960921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FFA-4F21-BB34-F82774BC11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'Subsystem Sizing'!$G$41:$G$46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Thermal</c:v>
                </c:pt>
                <c:pt idx="3">
                  <c:v>Power</c:v>
                </c:pt>
                <c:pt idx="4">
                  <c:v>Avionics</c:v>
                </c:pt>
                <c:pt idx="5">
                  <c:v>Other</c:v>
                </c:pt>
              </c:strCache>
            </c:strRef>
          </c:cat>
          <c:val>
            <c:numRef>
              <c:f>'Subsystem Sizing'!$I$41:$I$46</c:f>
              <c:numCache>
                <c:formatCode>0.0%</c:formatCode>
                <c:ptCount val="6"/>
                <c:pt idx="0">
                  <c:v>0.31</c:v>
                </c:pt>
                <c:pt idx="1">
                  <c:v>0.27160000000000001</c:v>
                </c:pt>
                <c:pt idx="2" formatCode="0.00%">
                  <c:v>0.15479999999999999</c:v>
                </c:pt>
                <c:pt idx="3">
                  <c:v>7.1717826617826622E-2</c:v>
                </c:pt>
                <c:pt idx="4">
                  <c:v>3.1000000000000003E-2</c:v>
                </c:pt>
                <c:pt idx="5">
                  <c:v>0.16088217338217339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2-4445-A6F5-D5A38AFC3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903893263342073"/>
          <c:y val="0.18113371245261009"/>
          <c:w val="0.24025524934383202"/>
          <c:h val="0.67997739865850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1730090</xdr:colOff>
      <xdr:row>54</xdr:row>
      <xdr:rowOff>6681</xdr:rowOff>
    </xdr:from>
    <xdr:to>
      <xdr:col>10</xdr:col>
      <xdr:colOff>1731064</xdr:colOff>
      <xdr:row>68</xdr:row>
      <xdr:rowOff>82881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FFA8B-C70C-4AA6-AB7F-69406289B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605516</xdr:colOff>
      <xdr:row>15</xdr:row>
      <xdr:rowOff>125187</xdr:rowOff>
    </xdr:from>
    <xdr:to>
      <xdr:col>12</xdr:col>
      <xdr:colOff>700766</xdr:colOff>
      <xdr:row>30</xdr:row>
      <xdr:rowOff>10887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8E353-D0C0-83AE-1CDF-DC00E0759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602716</xdr:colOff>
      <xdr:row>41</xdr:row>
      <xdr:rowOff>13606</xdr:rowOff>
    </xdr:from>
    <xdr:to>
      <xdr:col>21</xdr:col>
      <xdr:colOff>258536</xdr:colOff>
      <xdr:row>57</xdr:row>
      <xdr:rowOff>2561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DF0CD1-CF98-4AAC-ACA4-6BC08E201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644337</xdr:colOff>
      <xdr:row>40</xdr:row>
      <xdr:rowOff>34738</xdr:rowOff>
    </xdr:from>
    <xdr:to>
      <xdr:col>5</xdr:col>
      <xdr:colOff>745190</xdr:colOff>
      <xdr:row>54</xdr:row>
      <xdr:rowOff>110938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FC87BC-5C89-F008-ECA6-EA8C8269B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598715</xdr:colOff>
      <xdr:row>56</xdr:row>
      <xdr:rowOff>112939</xdr:rowOff>
    </xdr:from>
    <xdr:to>
      <xdr:col>5</xdr:col>
      <xdr:colOff>699568</xdr:colOff>
      <xdr:row>70</xdr:row>
      <xdr:rowOff>189139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561123-F519-4602-8E52-25E1BD7CE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618506</xdr:colOff>
      <xdr:row>76</xdr:row>
      <xdr:rowOff>43295</xdr:rowOff>
    </xdr:from>
    <xdr:to>
      <xdr:col>5</xdr:col>
      <xdr:colOff>719359</xdr:colOff>
      <xdr:row>90</xdr:row>
      <xdr:rowOff>119495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B06251-A080-42FC-B313-FADAE86BA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591293</xdr:colOff>
      <xdr:row>93</xdr:row>
      <xdr:rowOff>84115</xdr:rowOff>
    </xdr:from>
    <xdr:to>
      <xdr:col>5</xdr:col>
      <xdr:colOff>692146</xdr:colOff>
      <xdr:row>107</xdr:row>
      <xdr:rowOff>160315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840EDB-7FFA-41EF-99EC-63D1BE8E9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632114</xdr:colOff>
      <xdr:row>109</xdr:row>
      <xdr:rowOff>109970</xdr:rowOff>
    </xdr:from>
    <xdr:to>
      <xdr:col>5</xdr:col>
      <xdr:colOff>732967</xdr:colOff>
      <xdr:row>123</xdr:row>
      <xdr:rowOff>186170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3ECE86-6B01-4327-956F-251E0AAE4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56</xdr:row>
      <xdr:rowOff>69273</xdr:rowOff>
    </xdr:from>
    <xdr:to>
      <xdr:col>10</xdr:col>
      <xdr:colOff>661147</xdr:colOff>
      <xdr:row>70</xdr:row>
      <xdr:rowOff>145473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7A73D9-D52C-41BE-8EC9-B4EC97529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40</xdr:row>
      <xdr:rowOff>0</xdr:rowOff>
    </xdr:from>
    <xdr:to>
      <xdr:col>10</xdr:col>
      <xdr:colOff>661147</xdr:colOff>
      <xdr:row>54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DB17208-07D3-498C-885F-0323137C1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19050</xdr:colOff>
      <xdr:row>109</xdr:row>
      <xdr:rowOff>85725</xdr:rowOff>
    </xdr:from>
    <xdr:to>
      <xdr:col>10</xdr:col>
      <xdr:colOff>672353</xdr:colOff>
      <xdr:row>123</xdr:row>
      <xdr:rowOff>161925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879E5F-2DFD-44F8-9ED0-7529D33E6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1231447</xdr:colOff>
      <xdr:row>47</xdr:row>
      <xdr:rowOff>29936</xdr:rowOff>
    </xdr:from>
    <xdr:to>
      <xdr:col>7</xdr:col>
      <xdr:colOff>2782661</xdr:colOff>
      <xdr:row>61</xdr:row>
      <xdr:rowOff>106136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FD9A3-1468-C20E-65EC-75EF23E56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www.whitehouse.gov/wp-content/uploads/2019/10/shelby-mega-approps-10-23-19.pdf" TargetMode="External"/><Relationship Id="rId1" Type="http://schemas.openxmlformats.org/officeDocument/2006/relationships/hyperlink" Target="https://www.spacex.com/media/Capabilities&amp;Services.pdf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2004-969A-48C7-A58A-4DFE112F2B59}">
  <sheetPr codeName="Sheet1"/>
  <dimension ref="A1:AF83"/>
  <sheetViews>
    <sheetView topLeftCell="G61" zoomScale="85" zoomScaleNormal="85" workbookViewId="0">
      <selection activeCell="Z73" sqref="Z73"/>
    </sheetView>
  </sheetViews>
  <sheetFormatPr defaultRowHeight="15" x14ac:dyDescent="0.25"/>
  <cols>
    <col min="1" max="1" width="25" bestFit="1" customWidth="1"/>
    <col min="2" max="2" width="12.5703125" customWidth="1"/>
    <col min="3" max="3" width="6.7109375" customWidth="1"/>
    <col min="4" max="4" width="23.85546875" customWidth="1"/>
    <col min="5" max="5" width="26.140625" customWidth="1"/>
    <col min="6" max="6" width="27" bestFit="1" customWidth="1"/>
    <col min="7" max="7" width="12.42578125" bestFit="1" customWidth="1"/>
    <col min="10" max="10" width="21.140625" customWidth="1"/>
    <col min="11" max="11" width="28.7109375" bestFit="1" customWidth="1"/>
    <col min="12" max="12" width="38.28515625" customWidth="1"/>
    <col min="13" max="13" width="14.28515625" customWidth="1"/>
    <col min="14" max="14" width="16" customWidth="1"/>
    <col min="15" max="15" width="4.5703125" hidden="1" customWidth="1"/>
    <col min="16" max="16" width="20.7109375" customWidth="1"/>
    <col min="17" max="17" width="22.140625" customWidth="1"/>
    <col min="18" max="18" width="25.28515625" customWidth="1"/>
    <col min="19" max="19" width="21" customWidth="1"/>
    <col min="20" max="20" width="16.28515625" customWidth="1"/>
    <col min="21" max="21" width="19.140625" customWidth="1"/>
    <col min="22" max="22" width="16.28515625" bestFit="1" customWidth="1"/>
    <col min="23" max="23" width="14.85546875" customWidth="1"/>
    <col min="24" max="24" width="24.5703125" bestFit="1" customWidth="1"/>
    <col min="25" max="25" width="17.140625" bestFit="1" customWidth="1"/>
    <col min="26" max="26" width="11.28515625" customWidth="1"/>
    <col min="29" max="29" width="13.140625" customWidth="1"/>
    <col min="30" max="30" width="24.5703125" bestFit="1" customWidth="1"/>
    <col min="31" max="31" width="20.140625" bestFit="1" customWidth="1"/>
    <col min="32" max="32" width="12.28515625" bestFit="1" customWidth="1"/>
  </cols>
  <sheetData>
    <row r="1" spans="1:32" ht="15.75" thickBot="1" x14ac:dyDescent="0.3">
      <c r="D1" s="175" t="s">
        <v>119</v>
      </c>
      <c r="E1" s="175"/>
      <c r="F1" s="175"/>
      <c r="G1" s="175"/>
      <c r="J1" s="179" t="s">
        <v>120</v>
      </c>
      <c r="K1" s="179"/>
      <c r="L1" s="179"/>
      <c r="M1" s="179"/>
      <c r="Q1" s="179" t="s">
        <v>121</v>
      </c>
      <c r="R1" s="179"/>
      <c r="S1" s="179"/>
      <c r="T1" s="179"/>
      <c r="W1" s="179" t="s">
        <v>122</v>
      </c>
      <c r="X1" s="179"/>
      <c r="Y1" s="179"/>
      <c r="Z1" s="179"/>
      <c r="AC1" s="176" t="s">
        <v>123</v>
      </c>
      <c r="AD1" s="177"/>
      <c r="AE1" s="177"/>
      <c r="AF1" s="178"/>
    </row>
    <row r="2" spans="1:32" x14ac:dyDescent="0.25">
      <c r="A2" s="39" t="s">
        <v>114</v>
      </c>
      <c r="D2" s="2" t="s">
        <v>73</v>
      </c>
      <c r="E2" s="2" t="s">
        <v>71</v>
      </c>
      <c r="F2" s="2" t="s">
        <v>35</v>
      </c>
      <c r="G2" s="2" t="s">
        <v>72</v>
      </c>
      <c r="J2" s="2" t="s">
        <v>73</v>
      </c>
      <c r="K2" s="2" t="s">
        <v>71</v>
      </c>
      <c r="L2" s="2" t="s">
        <v>35</v>
      </c>
      <c r="M2" s="2" t="s">
        <v>72</v>
      </c>
      <c r="Q2" s="2" t="s">
        <v>73</v>
      </c>
      <c r="R2" s="2" t="s">
        <v>71</v>
      </c>
      <c r="S2" s="2" t="s">
        <v>35</v>
      </c>
      <c r="T2" s="2" t="s">
        <v>72</v>
      </c>
      <c r="W2" s="2" t="s">
        <v>73</v>
      </c>
      <c r="X2" s="2" t="s">
        <v>71</v>
      </c>
      <c r="Y2" s="2" t="s">
        <v>35</v>
      </c>
      <c r="Z2" s="2" t="s">
        <v>72</v>
      </c>
      <c r="AC2" s="2" t="s">
        <v>73</v>
      </c>
      <c r="AD2" s="2" t="s">
        <v>71</v>
      </c>
      <c r="AE2" s="2" t="s">
        <v>35</v>
      </c>
      <c r="AF2" s="2" t="s">
        <v>72</v>
      </c>
    </row>
    <row r="3" spans="1:32" x14ac:dyDescent="0.25">
      <c r="A3" s="46" t="s">
        <v>115</v>
      </c>
      <c r="E3" s="1"/>
      <c r="K3" s="1" t="s">
        <v>37</v>
      </c>
      <c r="M3" s="18">
        <f>M16</f>
        <v>5909.9978401806566</v>
      </c>
      <c r="R3" s="1" t="s">
        <v>37</v>
      </c>
      <c r="T3" s="17">
        <f>MAX(T11,T22,T27)</f>
        <v>6055.5678670360103</v>
      </c>
      <c r="W3" t="s">
        <v>44</v>
      </c>
      <c r="X3" s="1" t="s">
        <v>37</v>
      </c>
      <c r="Z3" s="18">
        <f>Z11+Z16</f>
        <v>13245.152354570637</v>
      </c>
      <c r="AC3" t="s">
        <v>44</v>
      </c>
      <c r="AD3" s="44" t="s">
        <v>194</v>
      </c>
      <c r="AE3" s="44"/>
      <c r="AF3" s="42">
        <v>18000</v>
      </c>
    </row>
    <row r="4" spans="1:32" ht="15.75" thickBot="1" x14ac:dyDescent="0.3">
      <c r="E4" s="1" t="s">
        <v>208</v>
      </c>
      <c r="G4" s="17">
        <f>G8</f>
        <v>6022.2824450466724</v>
      </c>
      <c r="K4" s="1" t="s">
        <v>66</v>
      </c>
      <c r="M4" s="18">
        <f>MAX(M14,M16)</f>
        <v>12789.086030741417</v>
      </c>
      <c r="R4" s="1" t="s">
        <v>66</v>
      </c>
      <c r="T4" s="17">
        <f>SUM(T15+T19)</f>
        <v>20471.276391653988</v>
      </c>
      <c r="X4" s="1" t="s">
        <v>66</v>
      </c>
      <c r="Z4" s="33">
        <f>Z14+Z17</f>
        <v>3962.8039938165975</v>
      </c>
      <c r="AD4" t="s">
        <v>195</v>
      </c>
      <c r="AE4" t="s">
        <v>36</v>
      </c>
      <c r="AF4" s="2">
        <v>21000</v>
      </c>
    </row>
    <row r="5" spans="1:32" x14ac:dyDescent="0.25">
      <c r="E5" s="1" t="s">
        <v>209</v>
      </c>
      <c r="G5" s="17">
        <f>G9+G12</f>
        <v>53316.152376233069</v>
      </c>
      <c r="K5" s="1" t="s">
        <v>181</v>
      </c>
      <c r="L5" t="s">
        <v>222</v>
      </c>
      <c r="M5">
        <v>7020</v>
      </c>
      <c r="R5" s="1" t="s">
        <v>181</v>
      </c>
      <c r="S5" s="2" t="s">
        <v>222</v>
      </c>
      <c r="T5" s="2">
        <v>18831</v>
      </c>
      <c r="X5" s="1" t="s">
        <v>181</v>
      </c>
      <c r="Y5" t="s">
        <v>359</v>
      </c>
      <c r="Z5">
        <v>8200</v>
      </c>
      <c r="AC5" s="19" t="s">
        <v>2</v>
      </c>
      <c r="AD5" s="20" t="s">
        <v>85</v>
      </c>
      <c r="AE5" s="27" t="s">
        <v>91</v>
      </c>
      <c r="AF5" s="34">
        <v>3900</v>
      </c>
    </row>
    <row r="6" spans="1:32" ht="15.75" thickBot="1" x14ac:dyDescent="0.3">
      <c r="E6" s="1" t="s">
        <v>188</v>
      </c>
      <c r="F6" t="s">
        <v>222</v>
      </c>
      <c r="G6" s="2">
        <v>18831</v>
      </c>
      <c r="K6" s="1" t="s">
        <v>182</v>
      </c>
      <c r="L6" t="s">
        <v>222</v>
      </c>
      <c r="M6">
        <v>18831</v>
      </c>
      <c r="R6" s="1" t="s">
        <v>182</v>
      </c>
      <c r="S6" s="2" t="s">
        <v>355</v>
      </c>
      <c r="T6" s="17">
        <v>17700</v>
      </c>
      <c r="X6" s="1" t="s">
        <v>182</v>
      </c>
      <c r="Y6" t="s">
        <v>359</v>
      </c>
      <c r="Z6">
        <v>8200</v>
      </c>
      <c r="AC6" s="23"/>
      <c r="AD6" s="1" t="s">
        <v>87</v>
      </c>
      <c r="AE6" t="s">
        <v>91</v>
      </c>
      <c r="AF6" s="32">
        <v>92670</v>
      </c>
    </row>
    <row r="7" spans="1:32" ht="15.75" thickBot="1" x14ac:dyDescent="0.3">
      <c r="E7" s="1" t="s">
        <v>189</v>
      </c>
      <c r="F7" t="s">
        <v>36</v>
      </c>
      <c r="G7" s="2">
        <v>63800</v>
      </c>
      <c r="J7" s="36" t="s">
        <v>2</v>
      </c>
      <c r="K7" s="20" t="s">
        <v>0</v>
      </c>
      <c r="L7" s="21"/>
      <c r="M7" s="36" t="s">
        <v>185</v>
      </c>
      <c r="Q7" s="19" t="s">
        <v>69</v>
      </c>
      <c r="R7" s="20" t="s">
        <v>0</v>
      </c>
      <c r="S7" s="21"/>
      <c r="T7" s="27" t="s">
        <v>190</v>
      </c>
      <c r="W7" s="19" t="s">
        <v>74</v>
      </c>
      <c r="X7" s="20" t="s">
        <v>75</v>
      </c>
      <c r="Y7" s="27"/>
      <c r="Z7" s="27" t="s">
        <v>76</v>
      </c>
      <c r="AC7" s="23"/>
      <c r="AD7" s="1" t="s">
        <v>88</v>
      </c>
      <c r="AF7" s="32">
        <f>AF6+AF5+AF3</f>
        <v>114570</v>
      </c>
    </row>
    <row r="8" spans="1:32" x14ac:dyDescent="0.25">
      <c r="D8" s="19" t="s">
        <v>41</v>
      </c>
      <c r="E8" s="20" t="s">
        <v>8</v>
      </c>
      <c r="F8" s="27" t="s">
        <v>179</v>
      </c>
      <c r="G8" s="22">
        <f>G9/0.3321</f>
        <v>6022.2824450466724</v>
      </c>
      <c r="J8" s="3"/>
      <c r="K8" s="43" t="s">
        <v>6</v>
      </c>
      <c r="L8" s="45"/>
      <c r="M8" s="41">
        <f>'Transfer Vehicle Data'!J6*0.7</f>
        <v>67867984406.10434</v>
      </c>
      <c r="Q8" s="23"/>
      <c r="R8" s="43" t="s">
        <v>6</v>
      </c>
      <c r="S8" s="45"/>
      <c r="T8" s="41">
        <v>76500000000</v>
      </c>
      <c r="W8" s="23"/>
      <c r="X8" s="43" t="s">
        <v>45</v>
      </c>
      <c r="Y8" s="44"/>
      <c r="Z8" s="41">
        <f>131000000000*0.73</f>
        <v>95630000000</v>
      </c>
      <c r="AC8" s="23"/>
      <c r="AD8" s="1" t="s">
        <v>93</v>
      </c>
      <c r="AF8" s="32">
        <v>3800</v>
      </c>
    </row>
    <row r="9" spans="1:32" x14ac:dyDescent="0.25">
      <c r="D9" s="23"/>
      <c r="E9" s="43" t="s">
        <v>9</v>
      </c>
      <c r="F9" s="44"/>
      <c r="G9" s="40">
        <f>2000</f>
        <v>2000</v>
      </c>
      <c r="J9" s="3"/>
      <c r="K9" s="1" t="s">
        <v>5</v>
      </c>
      <c r="L9" s="2" t="s">
        <v>39</v>
      </c>
      <c r="M9" s="17">
        <v>3800</v>
      </c>
      <c r="Q9" s="23"/>
      <c r="R9" s="1" t="s">
        <v>5</v>
      </c>
      <c r="S9" s="2" t="s">
        <v>39</v>
      </c>
      <c r="T9" s="17">
        <v>3800</v>
      </c>
      <c r="W9" s="23"/>
      <c r="X9" s="1" t="s">
        <v>77</v>
      </c>
      <c r="Z9" s="2">
        <v>3800</v>
      </c>
      <c r="AC9" s="23"/>
      <c r="AD9" s="1" t="s">
        <v>84</v>
      </c>
      <c r="AF9" s="32">
        <v>348</v>
      </c>
    </row>
    <row r="10" spans="1:32" ht="30.75" thickBot="1" x14ac:dyDescent="0.3">
      <c r="D10" s="23"/>
      <c r="E10" s="30" t="s">
        <v>43</v>
      </c>
      <c r="F10" s="31" t="s">
        <v>42</v>
      </c>
      <c r="G10" s="17">
        <v>9060</v>
      </c>
      <c r="J10" s="3"/>
      <c r="K10" s="1" t="s">
        <v>14</v>
      </c>
      <c r="L10" s="2"/>
      <c r="M10" s="32">
        <f>2*M8/M9^2</f>
        <v>9399.9978401806566</v>
      </c>
      <c r="Q10" s="23"/>
      <c r="R10" s="1" t="s">
        <v>14</v>
      </c>
      <c r="S10" s="2"/>
      <c r="T10" s="17">
        <f>2*T8/T9^2</f>
        <v>10595.56786703601</v>
      </c>
      <c r="W10" s="23"/>
      <c r="X10" s="1" t="s">
        <v>79</v>
      </c>
      <c r="Z10" s="17">
        <f>2*Z8/(Z9^2)</f>
        <v>13245.152354570637</v>
      </c>
      <c r="AC10" s="38"/>
      <c r="AD10" s="24" t="s">
        <v>45</v>
      </c>
      <c r="AE10" s="28"/>
      <c r="AF10" s="85">
        <f>0.5*(AF5+AF3)*AF8^2</f>
        <v>158118000000</v>
      </c>
    </row>
    <row r="11" spans="1:32" x14ac:dyDescent="0.25">
      <c r="D11" s="23"/>
      <c r="E11" s="1" t="s">
        <v>1</v>
      </c>
      <c r="F11" t="s">
        <v>25</v>
      </c>
      <c r="G11" s="17">
        <v>450</v>
      </c>
      <c r="J11" s="3"/>
      <c r="K11" s="1" t="s">
        <v>15</v>
      </c>
      <c r="L11" s="2"/>
      <c r="M11" s="32">
        <v>3490</v>
      </c>
      <c r="Q11" s="23"/>
      <c r="R11" s="1" t="s">
        <v>15</v>
      </c>
      <c r="S11" s="2"/>
      <c r="T11" s="17">
        <v>4540</v>
      </c>
      <c r="W11" s="23"/>
      <c r="X11" s="1" t="s">
        <v>80</v>
      </c>
      <c r="Z11" s="2">
        <v>7230</v>
      </c>
      <c r="AC11" s="19" t="s">
        <v>3</v>
      </c>
      <c r="AD11" s="20" t="s">
        <v>88</v>
      </c>
      <c r="AE11" s="27"/>
      <c r="AF11" s="34">
        <f>AF3</f>
        <v>18000</v>
      </c>
    </row>
    <row r="12" spans="1:32" x14ac:dyDescent="0.25">
      <c r="D12" s="23"/>
      <c r="E12" s="1" t="s">
        <v>11</v>
      </c>
      <c r="F12" t="s">
        <v>278</v>
      </c>
      <c r="G12" s="17">
        <f>0.95*EXP((G10)/(G11*9.81))*(G9+G8)-(G9+G8)</f>
        <v>51316.152376233069</v>
      </c>
      <c r="J12" s="3"/>
      <c r="K12" s="1" t="s">
        <v>7</v>
      </c>
      <c r="L12" s="2" t="s">
        <v>186</v>
      </c>
      <c r="M12" s="32">
        <f>M10-M11</f>
        <v>5909.9978401806566</v>
      </c>
      <c r="O12" t="s">
        <v>47</v>
      </c>
      <c r="Q12" s="23"/>
      <c r="R12" s="1" t="s">
        <v>53</v>
      </c>
      <c r="T12" s="17">
        <v>1300</v>
      </c>
      <c r="W12" s="23"/>
      <c r="X12" s="1" t="s">
        <v>81</v>
      </c>
      <c r="Z12" s="17">
        <f>Z10-Z11</f>
        <v>6015.1523545706368</v>
      </c>
      <c r="AC12" s="23"/>
      <c r="AD12" s="1" t="s">
        <v>85</v>
      </c>
      <c r="AE12" t="s">
        <v>193</v>
      </c>
      <c r="AF12" s="32">
        <f>AF11*0.3345</f>
        <v>6021</v>
      </c>
    </row>
    <row r="13" spans="1:32" ht="16.5" customHeight="1" thickBot="1" x14ac:dyDescent="0.3">
      <c r="D13" s="38"/>
      <c r="E13" s="24" t="s">
        <v>12</v>
      </c>
      <c r="F13" s="28"/>
      <c r="G13" s="26">
        <f>SUM(G12,G9,G8)</f>
        <v>59338.434821279741</v>
      </c>
      <c r="J13" s="3"/>
      <c r="K13" s="1" t="s">
        <v>4</v>
      </c>
      <c r="L13" s="2"/>
      <c r="M13" s="17">
        <f>'Transfer Vehicle Data'!F6</f>
        <v>451</v>
      </c>
      <c r="O13" s="3">
        <v>9060</v>
      </c>
      <c r="Q13" s="23"/>
      <c r="R13" s="1" t="s">
        <v>7</v>
      </c>
      <c r="S13" s="2"/>
      <c r="T13" s="17">
        <f>T10-T11</f>
        <v>6055.5678670360103</v>
      </c>
      <c r="W13" s="23"/>
      <c r="X13" s="1" t="s">
        <v>84</v>
      </c>
      <c r="Z13" s="2">
        <v>2800</v>
      </c>
      <c r="AC13" s="23"/>
      <c r="AD13" s="1" t="s">
        <v>92</v>
      </c>
      <c r="AE13" t="s">
        <v>192</v>
      </c>
      <c r="AF13" s="84">
        <f>AF12*0.3321</f>
        <v>1999.5741</v>
      </c>
    </row>
    <row r="14" spans="1:32" x14ac:dyDescent="0.25">
      <c r="D14" s="23"/>
      <c r="E14" s="1"/>
      <c r="G14" s="17"/>
      <c r="J14" s="3"/>
      <c r="K14" s="1" t="s">
        <v>32</v>
      </c>
      <c r="L14" s="2"/>
      <c r="M14" s="17">
        <f>EXP(M9/($M$13*9.81))*(M10) - (M10)</f>
        <v>12789.086030741417</v>
      </c>
      <c r="O14" s="17">
        <f>2*M8/O13^2</f>
        <v>1653.6307960689917</v>
      </c>
      <c r="Q14" s="23"/>
      <c r="R14" s="1" t="s">
        <v>62</v>
      </c>
      <c r="S14" s="2"/>
      <c r="T14" s="17">
        <v>348</v>
      </c>
      <c r="W14" s="23"/>
      <c r="X14" s="1" t="s">
        <v>82</v>
      </c>
      <c r="Z14" s="32">
        <f>EXP((Z9)/(2800*9.81))*(Z10)-(Z10)</f>
        <v>1965.1718968636887</v>
      </c>
      <c r="AC14" s="23"/>
      <c r="AD14" s="1" t="s">
        <v>93</v>
      </c>
      <c r="AF14" s="32">
        <v>2500</v>
      </c>
    </row>
    <row r="15" spans="1:32" ht="15.75" thickBot="1" x14ac:dyDescent="0.3">
      <c r="J15" s="37"/>
      <c r="K15" s="24" t="s">
        <v>38</v>
      </c>
      <c r="L15" s="28"/>
      <c r="M15" s="26">
        <f>M14+M12+M11</f>
        <v>22189.083870922073</v>
      </c>
      <c r="O15" s="17">
        <v>3900</v>
      </c>
      <c r="Q15" s="23"/>
      <c r="R15" s="1" t="s">
        <v>32</v>
      </c>
      <c r="S15" s="2"/>
      <c r="T15" s="17">
        <f>EXP(T9/($M$13*9.81))*(T10) - (T10)</f>
        <v>14415.708524617978</v>
      </c>
      <c r="W15" s="38"/>
      <c r="X15" s="24" t="s">
        <v>83</v>
      </c>
      <c r="Y15" s="28"/>
      <c r="Z15" s="26">
        <f>Z14+Z12+Z11</f>
        <v>15210.324251434326</v>
      </c>
      <c r="AC15" s="23"/>
      <c r="AD15" s="1" t="s">
        <v>84</v>
      </c>
      <c r="AF15" s="32">
        <v>450</v>
      </c>
    </row>
    <row r="16" spans="1:32" ht="15.75" thickBot="1" x14ac:dyDescent="0.3">
      <c r="J16" s="36" t="s">
        <v>3</v>
      </c>
      <c r="K16" s="20" t="s">
        <v>8</v>
      </c>
      <c r="L16" s="27"/>
      <c r="M16" s="22">
        <f>M12</f>
        <v>5909.9978401806566</v>
      </c>
      <c r="O16" s="17">
        <f>O14-O15</f>
        <v>-2246.3692039310081</v>
      </c>
      <c r="Q16" s="38"/>
      <c r="R16" s="24" t="s">
        <v>38</v>
      </c>
      <c r="S16" s="28"/>
      <c r="T16" s="26">
        <f>T15+T13+T11</f>
        <v>25011.276391653988</v>
      </c>
      <c r="W16" s="19" t="s">
        <v>3</v>
      </c>
      <c r="X16" s="1" t="s">
        <v>86</v>
      </c>
      <c r="Y16" t="s">
        <v>332</v>
      </c>
      <c r="Z16" s="17">
        <f>Z12</f>
        <v>6015.1523545706368</v>
      </c>
      <c r="AC16" s="23"/>
      <c r="AD16" s="1" t="s">
        <v>87</v>
      </c>
      <c r="AE16" t="s">
        <v>94</v>
      </c>
      <c r="AF16" s="32">
        <f>1.11*EXP((AF14)/(AF15*9.81))*(AF13+AF12)-(AF13+AF12)</f>
        <v>7664.1236147577401</v>
      </c>
    </row>
    <row r="17" spans="10:32" ht="15.75" thickBot="1" x14ac:dyDescent="0.3">
      <c r="J17" s="3"/>
      <c r="K17" s="1" t="s">
        <v>9</v>
      </c>
      <c r="L17" s="2" t="s">
        <v>180</v>
      </c>
      <c r="M17" s="83">
        <f>M16*0.3321</f>
        <v>1962.710282723996</v>
      </c>
      <c r="O17" s="17">
        <v>348</v>
      </c>
      <c r="Q17" s="19" t="s">
        <v>50</v>
      </c>
      <c r="R17" s="1" t="s">
        <v>55</v>
      </c>
      <c r="T17" t="s">
        <v>51</v>
      </c>
      <c r="W17" s="23"/>
      <c r="X17" s="1" t="s">
        <v>78</v>
      </c>
      <c r="Z17" s="83">
        <f>Z16*0.3321</f>
        <v>1997.6320969529086</v>
      </c>
      <c r="AC17" s="38"/>
      <c r="AD17" s="24" t="s">
        <v>45</v>
      </c>
      <c r="AE17" s="28"/>
      <c r="AF17" s="35">
        <f>AF14^2*0.5*(AF13+AF12)</f>
        <v>25064294062.5</v>
      </c>
    </row>
    <row r="18" spans="10:32" x14ac:dyDescent="0.25">
      <c r="J18" s="3"/>
      <c r="K18" s="1" t="s">
        <v>10</v>
      </c>
      <c r="L18" s="2" t="s">
        <v>33</v>
      </c>
      <c r="M18" s="17">
        <v>5000</v>
      </c>
      <c r="O18" s="17">
        <f>EXP(O13/($M$13*9.81))*(O14) - (O14)</f>
        <v>11163.085689955245</v>
      </c>
      <c r="Q18" s="23"/>
      <c r="R18" s="1" t="s">
        <v>70</v>
      </c>
      <c r="T18" s="16">
        <f>0.5*(T19+T24)*T20^2</f>
        <v>6714023875.3362074</v>
      </c>
      <c r="W18" s="23"/>
      <c r="X18" s="1" t="s">
        <v>84</v>
      </c>
      <c r="Y18" t="s">
        <v>25</v>
      </c>
      <c r="Z18" s="17">
        <v>450</v>
      </c>
    </row>
    <row r="19" spans="10:32" x14ac:dyDescent="0.25">
      <c r="J19" s="3"/>
      <c r="K19" s="1" t="s">
        <v>1</v>
      </c>
      <c r="L19" s="2" t="s">
        <v>25</v>
      </c>
      <c r="M19" s="17">
        <v>450</v>
      </c>
      <c r="O19" s="17">
        <f>O18+O16+O15</f>
        <v>12816.716486024237</v>
      </c>
      <c r="Q19" s="23"/>
      <c r="R19" s="1" t="s">
        <v>56</v>
      </c>
      <c r="T19" s="17">
        <f>T13</f>
        <v>6055.5678670360103</v>
      </c>
      <c r="W19" s="23"/>
      <c r="X19" s="1" t="s">
        <v>77</v>
      </c>
      <c r="Z19" s="17">
        <v>5000</v>
      </c>
    </row>
    <row r="20" spans="10:32" x14ac:dyDescent="0.25">
      <c r="J20" s="3"/>
      <c r="K20" s="1" t="s">
        <v>11</v>
      </c>
      <c r="L20" s="2" t="s">
        <v>34</v>
      </c>
      <c r="M20" s="17">
        <f>0.95*EXP((M18)/(M19*9.81))*(M16+M17)-(M16+M17)</f>
        <v>15340.929116089726</v>
      </c>
      <c r="O20" s="17">
        <f>O16</f>
        <v>-2246.3692039310081</v>
      </c>
      <c r="Q20" s="23"/>
      <c r="R20" s="1" t="s">
        <v>5</v>
      </c>
      <c r="S20" t="s">
        <v>52</v>
      </c>
      <c r="T20" s="17">
        <v>1280</v>
      </c>
      <c r="W20" s="23"/>
      <c r="X20" s="1" t="s">
        <v>87</v>
      </c>
      <c r="Z20" s="17">
        <f>0.95*EXP((Z19)/(Z18*9.81))*(Z17+Z16) - (Z17+Z16)</f>
        <v>15613.884875993055</v>
      </c>
    </row>
    <row r="21" spans="10:32" x14ac:dyDescent="0.25">
      <c r="J21" s="3"/>
      <c r="K21" s="1" t="s">
        <v>49</v>
      </c>
      <c r="M21" s="16">
        <f>0.5*(M16+M17)*M18^2</f>
        <v>98408851536.308151</v>
      </c>
      <c r="O21" s="17">
        <f>O20/2.1809</f>
        <v>-1030.0193516121822</v>
      </c>
      <c r="Q21" s="23"/>
      <c r="R21" s="1" t="s">
        <v>61</v>
      </c>
      <c r="T21" s="2">
        <v>348</v>
      </c>
      <c r="W21" s="23"/>
      <c r="X21" s="1" t="s">
        <v>88</v>
      </c>
      <c r="Z21" s="17">
        <f>Z20+Z16+Z17</f>
        <v>23626.6693275166</v>
      </c>
    </row>
    <row r="22" spans="10:32" ht="15.75" thickBot="1" x14ac:dyDescent="0.3">
      <c r="J22" s="37"/>
      <c r="K22" s="24" t="s">
        <v>12</v>
      </c>
      <c r="L22" s="25"/>
      <c r="M22" s="26">
        <f>SUM(M20,M16,M17)</f>
        <v>23213.637238994379</v>
      </c>
      <c r="O22" s="17">
        <v>450</v>
      </c>
      <c r="Q22" s="23"/>
      <c r="R22" s="1" t="s">
        <v>57</v>
      </c>
      <c r="S22" t="s">
        <v>54</v>
      </c>
      <c r="T22" s="29">
        <f>(T11-T12)/((T15)/(EXP((T20)/(T21*9.81))*(T19+T11)-(T19+T11)))+T12</f>
        <v>2383.3107560187291</v>
      </c>
      <c r="W22" s="38"/>
      <c r="X22" s="24" t="s">
        <v>45</v>
      </c>
      <c r="Y22" s="28"/>
      <c r="Z22" s="28">
        <f>Z19^2*0.5*(Z17+Z16)</f>
        <v>100159805644.04433</v>
      </c>
    </row>
    <row r="23" spans="10:32" x14ac:dyDescent="0.25">
      <c r="O23" s="17">
        <v>5000</v>
      </c>
      <c r="Q23" s="23"/>
      <c r="R23" s="1" t="s">
        <v>58</v>
      </c>
      <c r="T23" s="29">
        <f>(T11-T12)/((T15)/(EXP((T20)/(T21*9.81))*(T19+T22)-(T19+T22)))+T12</f>
        <v>2162.8067976925781</v>
      </c>
    </row>
    <row r="24" spans="10:32" x14ac:dyDescent="0.25">
      <c r="N24">
        <f>M16/M20</f>
        <v>0.38524380078010978</v>
      </c>
      <c r="O24" s="17">
        <f>EXP((O23)/(O22*9.81))*(O21+O20)-(O21+O20)</f>
        <v>-6892.9062571601171</v>
      </c>
      <c r="Q24" s="23"/>
      <c r="R24" s="1" t="s">
        <v>59</v>
      </c>
      <c r="T24" s="29">
        <f>(T11-T12)/((T15)/(EXP((T20)/(T21*9.81))*(T19+T23)-(T19+T23)))+T12</f>
        <v>2140.2620589115086</v>
      </c>
    </row>
    <row r="25" spans="10:32" x14ac:dyDescent="0.25">
      <c r="O25" s="17">
        <f>SUM(O24,O21,O20)</f>
        <v>-10169.294812703307</v>
      </c>
      <c r="Q25" s="23"/>
      <c r="R25" s="1" t="s">
        <v>64</v>
      </c>
      <c r="T25" s="29">
        <f>(EXP((T20)/(T21*9.81))*(T19+T23)-(T19+T23))</f>
        <v>3738.5718906060756</v>
      </c>
    </row>
    <row r="26" spans="10:32" ht="15.75" thickBot="1" x14ac:dyDescent="0.3">
      <c r="Q26" s="38"/>
      <c r="R26" s="1" t="s">
        <v>60</v>
      </c>
      <c r="T26" s="29">
        <f>T25+T24+T19</f>
        <v>11934.401816553594</v>
      </c>
    </row>
    <row r="27" spans="10:32" ht="15.75" customHeight="1" x14ac:dyDescent="0.25">
      <c r="Q27" s="19" t="s">
        <v>3</v>
      </c>
      <c r="R27" s="20" t="s">
        <v>8</v>
      </c>
      <c r="S27" s="21" t="s">
        <v>191</v>
      </c>
      <c r="T27" s="22">
        <f>T19</f>
        <v>6055.5678670360103</v>
      </c>
    </row>
    <row r="28" spans="10:32" ht="28.5" customHeight="1" x14ac:dyDescent="0.25">
      <c r="Q28" s="23"/>
      <c r="R28" s="1" t="s">
        <v>9</v>
      </c>
      <c r="T28" s="83">
        <f>T27*0.3321</f>
        <v>2011.0540886426591</v>
      </c>
    </row>
    <row r="29" spans="10:32" x14ac:dyDescent="0.25">
      <c r="Q29" s="23"/>
      <c r="R29" s="1" t="s">
        <v>1</v>
      </c>
      <c r="S29" s="2" t="s">
        <v>25</v>
      </c>
      <c r="T29" s="17">
        <v>450</v>
      </c>
    </row>
    <row r="30" spans="10:32" ht="15.75" customHeight="1" x14ac:dyDescent="0.25">
      <c r="Q30" s="23"/>
      <c r="R30" s="1" t="s">
        <v>10</v>
      </c>
      <c r="S30" s="2" t="s">
        <v>67</v>
      </c>
      <c r="T30" s="17">
        <v>3800</v>
      </c>
    </row>
    <row r="31" spans="10:32" ht="15.75" customHeight="1" x14ac:dyDescent="0.25">
      <c r="Q31" s="23"/>
      <c r="R31" s="1" t="s">
        <v>11</v>
      </c>
      <c r="S31" s="2" t="s">
        <v>34</v>
      </c>
      <c r="T31" s="17">
        <f>0.95*EXP((T30)/(T29*9.81))*(T28+T27)-(T28+T27)</f>
        <v>10057.452682012527</v>
      </c>
    </row>
    <row r="32" spans="10:32" ht="19.5" customHeight="1" x14ac:dyDescent="0.25">
      <c r="Q32" s="23"/>
      <c r="R32" s="1" t="s">
        <v>49</v>
      </c>
      <c r="T32" s="16">
        <f>0.5*(T28+T27)*T30^2</f>
        <v>58241010519.999992</v>
      </c>
    </row>
    <row r="33" spans="4:32" ht="18" customHeight="1" thickBot="1" x14ac:dyDescent="0.3">
      <c r="Q33" s="38"/>
      <c r="R33" s="24" t="s">
        <v>12</v>
      </c>
      <c r="S33" s="25"/>
      <c r="T33" s="26">
        <f>SUM(T31,T28,T27)</f>
        <v>18124.074637691196</v>
      </c>
    </row>
    <row r="34" spans="4:32" ht="14.25" customHeight="1" x14ac:dyDescent="0.25">
      <c r="D34" s="175" t="s">
        <v>125</v>
      </c>
      <c r="E34" s="175"/>
      <c r="F34" s="175"/>
      <c r="G34" s="175"/>
      <c r="J34" s="175" t="s">
        <v>148</v>
      </c>
      <c r="K34" s="175"/>
      <c r="L34" s="175"/>
      <c r="M34" s="175"/>
      <c r="W34" s="175" t="s">
        <v>126</v>
      </c>
      <c r="X34" s="175"/>
      <c r="Y34" s="175"/>
      <c r="Z34" s="175"/>
      <c r="AC34" s="175" t="s">
        <v>127</v>
      </c>
      <c r="AD34" s="175"/>
      <c r="AE34" s="175"/>
      <c r="AF34" s="175"/>
    </row>
    <row r="35" spans="4:32" ht="15.75" thickBot="1" x14ac:dyDescent="0.3">
      <c r="D35" s="2" t="s">
        <v>115</v>
      </c>
      <c r="E35" s="2" t="s">
        <v>128</v>
      </c>
      <c r="F35" s="2" t="s">
        <v>35</v>
      </c>
      <c r="G35" s="2" t="s">
        <v>72</v>
      </c>
      <c r="J35" s="2" t="s">
        <v>115</v>
      </c>
      <c r="K35" s="2" t="s">
        <v>128</v>
      </c>
      <c r="L35" s="2" t="s">
        <v>35</v>
      </c>
      <c r="M35" s="2" t="s">
        <v>72</v>
      </c>
      <c r="Q35" s="179" t="s">
        <v>124</v>
      </c>
      <c r="R35" s="179"/>
      <c r="S35" s="179"/>
      <c r="T35" s="179"/>
      <c r="W35" s="2" t="s">
        <v>115</v>
      </c>
      <c r="X35" s="2" t="s">
        <v>128</v>
      </c>
      <c r="Y35" s="2" t="s">
        <v>35</v>
      </c>
      <c r="Z35" s="2" t="s">
        <v>72</v>
      </c>
      <c r="AC35" s="2" t="s">
        <v>115</v>
      </c>
      <c r="AD35" s="2" t="s">
        <v>128</v>
      </c>
      <c r="AE35" s="2" t="s">
        <v>35</v>
      </c>
      <c r="AF35" s="2" t="s">
        <v>72</v>
      </c>
    </row>
    <row r="36" spans="4:32" ht="15.75" thickBot="1" x14ac:dyDescent="0.3">
      <c r="D36" s="27" t="s">
        <v>129</v>
      </c>
      <c r="E36" s="20" t="s">
        <v>95</v>
      </c>
      <c r="F36" s="27"/>
      <c r="G36" s="22">
        <f>G12</f>
        <v>51316.152376233069</v>
      </c>
      <c r="J36" s="27" t="s">
        <v>129</v>
      </c>
      <c r="K36" s="20" t="s">
        <v>68</v>
      </c>
      <c r="L36" s="27"/>
      <c r="M36" s="22">
        <f>M14+M20</f>
        <v>28130.015146831145</v>
      </c>
      <c r="Q36" s="2" t="s">
        <v>115</v>
      </c>
      <c r="R36" s="2" t="s">
        <v>128</v>
      </c>
      <c r="S36" s="2" t="s">
        <v>35</v>
      </c>
      <c r="T36" s="2" t="s">
        <v>72</v>
      </c>
      <c r="W36" s="27" t="s">
        <v>129</v>
      </c>
      <c r="X36" s="20" t="s">
        <v>95</v>
      </c>
      <c r="Y36" s="27"/>
      <c r="Z36" s="22">
        <f>Z20+Z14</f>
        <v>17579.056772856744</v>
      </c>
      <c r="AC36" s="27" t="s">
        <v>129</v>
      </c>
      <c r="AD36" s="20" t="s">
        <v>95</v>
      </c>
      <c r="AE36" s="27"/>
      <c r="AF36" s="34">
        <f>AF16+AF6</f>
        <v>100334.12361475774</v>
      </c>
    </row>
    <row r="37" spans="4:32" x14ac:dyDescent="0.25">
      <c r="E37" s="1" t="s">
        <v>96</v>
      </c>
      <c r="G37" s="17">
        <f>ROUNDUP(G4/G6, 0)</f>
        <v>1</v>
      </c>
      <c r="K37" s="1" t="s">
        <v>96</v>
      </c>
      <c r="M37" s="2">
        <f>ROUNDUP((M11+M16)/M5, 0)</f>
        <v>2</v>
      </c>
      <c r="Q37" s="27" t="s">
        <v>129</v>
      </c>
      <c r="R37" s="20" t="s">
        <v>68</v>
      </c>
      <c r="S37" s="27"/>
      <c r="T37" s="22">
        <f>T15+T25+T31</f>
        <v>28211.733097236582</v>
      </c>
      <c r="X37" s="1" t="s">
        <v>96</v>
      </c>
      <c r="Z37" s="2">
        <f>ROUNDUP(((Z11+Z16)/Z3), 0)</f>
        <v>1</v>
      </c>
      <c r="AD37" s="1" t="s">
        <v>96</v>
      </c>
      <c r="AF37" s="2">
        <f>ROUNDUP((AF5+AF13)/AF3, 0)</f>
        <v>1</v>
      </c>
    </row>
    <row r="38" spans="4:32" x14ac:dyDescent="0.25">
      <c r="E38" s="1" t="s">
        <v>97</v>
      </c>
      <c r="G38" s="17">
        <f>ROUNDUP((G36+G9)/G5, 0)</f>
        <v>1</v>
      </c>
      <c r="K38" s="1" t="s">
        <v>97</v>
      </c>
      <c r="M38" s="2">
        <f>ROUNDUP((M17+M14)/M6, 0)</f>
        <v>1</v>
      </c>
      <c r="R38" s="1" t="s">
        <v>96</v>
      </c>
      <c r="T38" s="17">
        <f>ROUNDUP((T11+T24+T27)/T5, 0)</f>
        <v>1</v>
      </c>
      <c r="X38" s="1" t="s">
        <v>97</v>
      </c>
      <c r="Z38" s="32">
        <f>ROUNDUP((Z14+Z17)/Z3, 0)</f>
        <v>1</v>
      </c>
      <c r="AD38" s="1" t="s">
        <v>97</v>
      </c>
      <c r="AF38" s="2">
        <v>1</v>
      </c>
    </row>
    <row r="39" spans="4:32" x14ac:dyDescent="0.25">
      <c r="D39">
        <v>1</v>
      </c>
      <c r="E39" s="47" t="s">
        <v>105</v>
      </c>
      <c r="F39" s="46"/>
      <c r="G39" s="48">
        <f>G9</f>
        <v>2000</v>
      </c>
      <c r="J39">
        <v>1</v>
      </c>
      <c r="K39" s="47" t="s">
        <v>105</v>
      </c>
      <c r="L39" s="46"/>
      <c r="M39" s="48">
        <f>M17</f>
        <v>1962.710282723996</v>
      </c>
      <c r="R39" s="1" t="s">
        <v>97</v>
      </c>
      <c r="T39" s="2">
        <f>ROUNDUP((T15+T28)/T6, 0)</f>
        <v>1</v>
      </c>
      <c r="W39">
        <v>1</v>
      </c>
      <c r="X39" s="47" t="s">
        <v>105</v>
      </c>
      <c r="Y39" s="46"/>
      <c r="Z39" s="48">
        <f>Z17</f>
        <v>1997.6320969529086</v>
      </c>
      <c r="AC39">
        <v>1</v>
      </c>
      <c r="AD39" s="47" t="s">
        <v>105</v>
      </c>
      <c r="AE39" s="46"/>
      <c r="AF39" s="49">
        <f>AF13</f>
        <v>1999.5741</v>
      </c>
    </row>
    <row r="40" spans="4:32" x14ac:dyDescent="0.25">
      <c r="D40">
        <v>2</v>
      </c>
      <c r="E40" s="47" t="s">
        <v>104</v>
      </c>
      <c r="F40" s="46"/>
      <c r="G40" s="48">
        <f>G9</f>
        <v>2000</v>
      </c>
      <c r="J40">
        <v>2</v>
      </c>
      <c r="K40" s="47" t="s">
        <v>104</v>
      </c>
      <c r="L40" s="46"/>
      <c r="M40" s="48">
        <f>M17</f>
        <v>1962.710282723996</v>
      </c>
      <c r="Q40">
        <v>1</v>
      </c>
      <c r="R40" s="47" t="s">
        <v>105</v>
      </c>
      <c r="S40" s="46"/>
      <c r="T40" s="48">
        <f>T28</f>
        <v>2011.0540886426591</v>
      </c>
      <c r="W40">
        <v>2</v>
      </c>
      <c r="X40" s="47" t="s">
        <v>104</v>
      </c>
      <c r="Y40" s="46"/>
      <c r="Z40" s="49">
        <f>Z39/Z38</f>
        <v>1997.6320969529086</v>
      </c>
      <c r="AC40">
        <v>2</v>
      </c>
      <c r="AD40" s="47" t="s">
        <v>104</v>
      </c>
      <c r="AE40" s="46"/>
      <c r="AF40" s="49">
        <v>0</v>
      </c>
    </row>
    <row r="41" spans="4:32" ht="37.5" customHeight="1" thickBot="1" x14ac:dyDescent="0.3">
      <c r="D41">
        <v>3</v>
      </c>
      <c r="E41" s="1" t="s">
        <v>98</v>
      </c>
      <c r="G41" s="32">
        <f>G39/G38</f>
        <v>2000</v>
      </c>
      <c r="J41">
        <v>3</v>
      </c>
      <c r="K41" s="1" t="s">
        <v>98</v>
      </c>
      <c r="M41" s="32">
        <f>M39/M38</f>
        <v>1962.710282723996</v>
      </c>
      <c r="Q41">
        <v>2</v>
      </c>
      <c r="R41" s="47" t="s">
        <v>104</v>
      </c>
      <c r="S41" s="46"/>
      <c r="T41" s="48">
        <f>T28</f>
        <v>2011.0540886426591</v>
      </c>
      <c r="W41">
        <v>3</v>
      </c>
      <c r="X41" s="1" t="s">
        <v>99</v>
      </c>
      <c r="Z41" s="17">
        <f>Z17</f>
        <v>1997.6320969529086</v>
      </c>
      <c r="AC41">
        <v>3</v>
      </c>
      <c r="AD41" s="1" t="s">
        <v>99</v>
      </c>
      <c r="AF41" s="32">
        <f>AF39/AF38</f>
        <v>1999.5741</v>
      </c>
    </row>
    <row r="42" spans="4:32" ht="36" customHeight="1" thickBot="1" x14ac:dyDescent="0.3">
      <c r="D42" s="27" t="s">
        <v>130</v>
      </c>
      <c r="E42" s="20" t="s">
        <v>100</v>
      </c>
      <c r="F42" s="27" t="s">
        <v>101</v>
      </c>
      <c r="G42" s="21">
        <v>1</v>
      </c>
      <c r="J42" s="27" t="s">
        <v>130</v>
      </c>
      <c r="K42" s="52" t="s">
        <v>100</v>
      </c>
      <c r="L42" s="54" t="s">
        <v>102</v>
      </c>
      <c r="M42" s="21">
        <v>4</v>
      </c>
      <c r="Q42">
        <v>3</v>
      </c>
      <c r="R42" s="1" t="s">
        <v>99</v>
      </c>
      <c r="T42" s="32">
        <f>T41/T39</f>
        <v>2011.0540886426591</v>
      </c>
      <c r="W42" s="27" t="s">
        <v>130</v>
      </c>
      <c r="X42" s="20" t="s">
        <v>100</v>
      </c>
      <c r="Y42" s="53" t="s">
        <v>109</v>
      </c>
      <c r="Z42" s="21">
        <v>3</v>
      </c>
      <c r="AC42" s="27" t="s">
        <v>130</v>
      </c>
      <c r="AD42" s="20" t="s">
        <v>100</v>
      </c>
      <c r="AE42" s="27"/>
      <c r="AF42" s="21">
        <v>0</v>
      </c>
    </row>
    <row r="43" spans="4:32" ht="15.75" customHeight="1" x14ac:dyDescent="0.25">
      <c r="E43" s="1" t="s">
        <v>106</v>
      </c>
      <c r="G43" s="2">
        <v>1</v>
      </c>
      <c r="K43" s="1" t="s">
        <v>106</v>
      </c>
      <c r="L43" s="31" t="s">
        <v>107</v>
      </c>
      <c r="M43" s="2">
        <v>3</v>
      </c>
      <c r="Q43" s="27" t="s">
        <v>130</v>
      </c>
      <c r="R43" s="52" t="s">
        <v>100</v>
      </c>
      <c r="S43" s="53" t="s">
        <v>103</v>
      </c>
      <c r="T43" s="21">
        <v>6</v>
      </c>
      <c r="X43" s="1" t="s">
        <v>106</v>
      </c>
      <c r="Y43" s="31" t="s">
        <v>110</v>
      </c>
      <c r="Z43" s="2">
        <v>3</v>
      </c>
      <c r="AD43" s="1" t="s">
        <v>106</v>
      </c>
      <c r="AF43" s="2">
        <v>0</v>
      </c>
    </row>
    <row r="44" spans="4:32" ht="60" x14ac:dyDescent="0.25">
      <c r="E44" s="1" t="s">
        <v>111</v>
      </c>
      <c r="G44" s="2">
        <v>1</v>
      </c>
      <c r="K44" s="1" t="s">
        <v>111</v>
      </c>
      <c r="M44" s="2">
        <v>1</v>
      </c>
      <c r="R44" s="1" t="s">
        <v>106</v>
      </c>
      <c r="S44" s="31" t="s">
        <v>108</v>
      </c>
      <c r="T44" s="2">
        <v>4</v>
      </c>
      <c r="X44" s="1" t="s">
        <v>111</v>
      </c>
      <c r="Z44" s="2">
        <v>1</v>
      </c>
      <c r="AD44" s="1" t="s">
        <v>111</v>
      </c>
      <c r="AF44" s="2">
        <v>1</v>
      </c>
    </row>
    <row r="45" spans="4:32" x14ac:dyDescent="0.25">
      <c r="E45" s="1" t="s">
        <v>112</v>
      </c>
      <c r="G45" s="2">
        <v>0</v>
      </c>
      <c r="K45" s="1" t="s">
        <v>112</v>
      </c>
      <c r="M45" s="2">
        <v>0</v>
      </c>
      <c r="R45" s="1" t="s">
        <v>111</v>
      </c>
      <c r="T45" s="2">
        <v>1</v>
      </c>
      <c r="X45" s="1" t="s">
        <v>112</v>
      </c>
      <c r="Z45" s="2">
        <v>1</v>
      </c>
      <c r="AD45" s="1" t="s">
        <v>112</v>
      </c>
      <c r="AF45" s="2">
        <v>0</v>
      </c>
    </row>
    <row r="46" spans="4:32" x14ac:dyDescent="0.25">
      <c r="E46" s="1" t="s">
        <v>118</v>
      </c>
      <c r="K46" s="1" t="s">
        <v>118</v>
      </c>
      <c r="R46" s="1" t="s">
        <v>112</v>
      </c>
      <c r="T46" s="2">
        <v>0</v>
      </c>
      <c r="X46" s="1" t="s">
        <v>118</v>
      </c>
      <c r="AD46" s="1" t="s">
        <v>118</v>
      </c>
    </row>
    <row r="47" spans="4:32" x14ac:dyDescent="0.25">
      <c r="E47" s="1" t="s">
        <v>116</v>
      </c>
      <c r="K47" s="1" t="s">
        <v>116</v>
      </c>
      <c r="R47" s="1" t="s">
        <v>118</v>
      </c>
      <c r="X47" s="1" t="s">
        <v>116</v>
      </c>
      <c r="AD47" s="1" t="s">
        <v>116</v>
      </c>
    </row>
    <row r="48" spans="4:32" x14ac:dyDescent="0.25">
      <c r="E48" s="1" t="s">
        <v>113</v>
      </c>
      <c r="G48" s="2">
        <f>G45+G44+G43+G42</f>
        <v>3</v>
      </c>
      <c r="K48" s="1" t="s">
        <v>113</v>
      </c>
      <c r="M48" s="2">
        <f>M45+M44+M43+M42</f>
        <v>8</v>
      </c>
      <c r="R48" s="1" t="s">
        <v>116</v>
      </c>
      <c r="X48" s="1" t="s">
        <v>113</v>
      </c>
      <c r="Z48" s="2">
        <f>Z45+Z44+Z43+Z42</f>
        <v>8</v>
      </c>
      <c r="AD48" s="1" t="s">
        <v>113</v>
      </c>
      <c r="AF48" s="2">
        <f>AF45+AF44+AF43+AF42</f>
        <v>1</v>
      </c>
    </row>
    <row r="49" spans="4:32" ht="15.75" thickBot="1" x14ac:dyDescent="0.3">
      <c r="D49" s="28">
        <v>4</v>
      </c>
      <c r="E49" s="50" t="s">
        <v>117</v>
      </c>
      <c r="F49" s="51"/>
      <c r="G49" s="51">
        <f>SUM(G46:G48)</f>
        <v>3</v>
      </c>
      <c r="J49" s="28">
        <v>4</v>
      </c>
      <c r="K49" s="50" t="s">
        <v>117</v>
      </c>
      <c r="L49" s="51"/>
      <c r="M49" s="51">
        <f>SUM(M46:M48)</f>
        <v>8</v>
      </c>
      <c r="R49" s="1" t="s">
        <v>113</v>
      </c>
      <c r="T49" s="2">
        <f>T46+T45+T44+T43</f>
        <v>11</v>
      </c>
      <c r="W49" s="28">
        <v>4</v>
      </c>
      <c r="X49" s="50" t="s">
        <v>117</v>
      </c>
      <c r="Y49" s="51"/>
      <c r="Z49" s="51">
        <f>SUM(Z46:Z48)</f>
        <v>8</v>
      </c>
      <c r="AC49" s="28">
        <v>4</v>
      </c>
      <c r="AD49" s="50" t="s">
        <v>117</v>
      </c>
      <c r="AE49" s="51"/>
      <c r="AF49" s="51">
        <f>SUM(AF46:AF48)</f>
        <v>1</v>
      </c>
    </row>
    <row r="50" spans="4:32" ht="15.75" thickBot="1" x14ac:dyDescent="0.3">
      <c r="D50" s="27" t="s">
        <v>131</v>
      </c>
      <c r="E50" s="20" t="s">
        <v>142</v>
      </c>
      <c r="F50" s="27" t="s">
        <v>146</v>
      </c>
      <c r="G50" s="56">
        <f>3/24</f>
        <v>0.125</v>
      </c>
      <c r="J50" s="27" t="s">
        <v>131</v>
      </c>
      <c r="K50" s="20" t="s">
        <v>151</v>
      </c>
      <c r="L50" s="27" t="s">
        <v>146</v>
      </c>
      <c r="M50" s="27">
        <v>0.125</v>
      </c>
      <c r="Q50" s="28">
        <v>4</v>
      </c>
      <c r="R50" s="50" t="s">
        <v>117</v>
      </c>
      <c r="S50" s="51"/>
      <c r="T50" s="51">
        <f>SUM(T47:T49)</f>
        <v>11</v>
      </c>
      <c r="W50" s="27" t="s">
        <v>131</v>
      </c>
      <c r="X50" s="20" t="s">
        <v>151</v>
      </c>
      <c r="Y50" s="27" t="s">
        <v>146</v>
      </c>
      <c r="Z50" s="27">
        <v>0.125</v>
      </c>
      <c r="AC50" s="27" t="s">
        <v>131</v>
      </c>
      <c r="AD50" s="20" t="s">
        <v>151</v>
      </c>
      <c r="AE50" s="27" t="s">
        <v>146</v>
      </c>
      <c r="AF50" s="27">
        <v>0.125</v>
      </c>
    </row>
    <row r="51" spans="4:32" x14ac:dyDescent="0.25">
      <c r="E51" s="1" t="s">
        <v>149</v>
      </c>
      <c r="F51" t="s">
        <v>150</v>
      </c>
      <c r="G51" s="62">
        <f>99</f>
        <v>99</v>
      </c>
      <c r="K51" s="1" t="s">
        <v>141</v>
      </c>
      <c r="L51" s="63" t="s">
        <v>150</v>
      </c>
      <c r="M51" s="63">
        <v>99</v>
      </c>
      <c r="Q51" s="27" t="s">
        <v>131</v>
      </c>
      <c r="R51" s="20" t="s">
        <v>151</v>
      </c>
      <c r="S51" s="27" t="s">
        <v>146</v>
      </c>
      <c r="T51" s="27">
        <v>0.125</v>
      </c>
      <c r="X51" s="1" t="s">
        <v>141</v>
      </c>
      <c r="Y51" s="63" t="s">
        <v>150</v>
      </c>
      <c r="Z51" s="63">
        <v>99</v>
      </c>
      <c r="AD51" s="1" t="s">
        <v>141</v>
      </c>
      <c r="AE51" s="63" t="s">
        <v>150</v>
      </c>
      <c r="AF51" s="63">
        <v>99</v>
      </c>
    </row>
    <row r="52" spans="4:32" x14ac:dyDescent="0.25">
      <c r="E52" s="58" t="s">
        <v>143</v>
      </c>
      <c r="F52" s="59" t="s">
        <v>140</v>
      </c>
      <c r="G52" s="60">
        <f>G42*G50+(G36/G51/60/60/24)</f>
        <v>0.13099936311918176</v>
      </c>
      <c r="K52" s="58" t="s">
        <v>143</v>
      </c>
      <c r="L52" t="s">
        <v>152</v>
      </c>
      <c r="M52">
        <f>M50*2+(M14/M51/60/60/24)</f>
        <v>0.25149516999050009</v>
      </c>
      <c r="R52" s="1" t="s">
        <v>141</v>
      </c>
      <c r="S52" s="63" t="s">
        <v>150</v>
      </c>
      <c r="T52" s="63">
        <v>99</v>
      </c>
      <c r="X52" s="58" t="s">
        <v>143</v>
      </c>
      <c r="Y52" t="s">
        <v>152</v>
      </c>
      <c r="Z52">
        <f>Z50</f>
        <v>0.125</v>
      </c>
      <c r="AD52" s="58" t="s">
        <v>143</v>
      </c>
      <c r="AE52" t="s">
        <v>168</v>
      </c>
      <c r="AF52">
        <v>0.1</v>
      </c>
    </row>
    <row r="53" spans="4:32" x14ac:dyDescent="0.25">
      <c r="E53" s="1" t="s">
        <v>144</v>
      </c>
      <c r="F53" t="s">
        <v>139</v>
      </c>
      <c r="G53" s="57">
        <v>5</v>
      </c>
      <c r="K53" s="1" t="s">
        <v>144</v>
      </c>
      <c r="L53" t="s">
        <v>163</v>
      </c>
      <c r="M53">
        <v>5.0999999999999996</v>
      </c>
      <c r="R53" s="58" t="s">
        <v>143</v>
      </c>
      <c r="S53" t="s">
        <v>152</v>
      </c>
      <c r="T53" s="57">
        <f>T51*2+(T15/T52/60/60/24)</f>
        <v>0.25168533816458777</v>
      </c>
      <c r="X53" s="1" t="s">
        <v>144</v>
      </c>
      <c r="Y53" t="s">
        <v>163</v>
      </c>
      <c r="Z53">
        <v>270</v>
      </c>
      <c r="AD53" s="1" t="s">
        <v>144</v>
      </c>
      <c r="AE53" t="s">
        <v>170</v>
      </c>
      <c r="AF53">
        <v>3.04</v>
      </c>
    </row>
    <row r="54" spans="4:32" x14ac:dyDescent="0.25">
      <c r="E54" s="1" t="s">
        <v>145</v>
      </c>
      <c r="F54" t="s">
        <v>155</v>
      </c>
      <c r="K54" s="1" t="s">
        <v>145</v>
      </c>
      <c r="L54" t="s">
        <v>153</v>
      </c>
      <c r="M54">
        <v>0.55000000000000004</v>
      </c>
      <c r="R54" s="1" t="s">
        <v>144</v>
      </c>
      <c r="S54" t="s">
        <v>163</v>
      </c>
      <c r="T54" s="57">
        <f>M53</f>
        <v>5.0999999999999996</v>
      </c>
      <c r="X54" s="1" t="s">
        <v>145</v>
      </c>
      <c r="Y54" t="s">
        <v>167</v>
      </c>
      <c r="Z54">
        <v>0.55000000000000004</v>
      </c>
      <c r="AD54" s="1" t="s">
        <v>145</v>
      </c>
      <c r="AE54" t="s">
        <v>169</v>
      </c>
      <c r="AF54">
        <f>0.1666</f>
        <v>0.1666</v>
      </c>
    </row>
    <row r="55" spans="4:32" ht="15.75" thickBot="1" x14ac:dyDescent="0.3">
      <c r="E55" s="47" t="s">
        <v>157</v>
      </c>
      <c r="F55" s="46"/>
      <c r="G55" s="64">
        <f>SUM(G52:G54)</f>
        <v>5.1309993631191819</v>
      </c>
      <c r="K55" s="47" t="s">
        <v>157</v>
      </c>
      <c r="L55" s="46"/>
      <c r="M55" s="46">
        <f>SUM(M52:M54)</f>
        <v>5.9014951699904996</v>
      </c>
      <c r="R55" s="1" t="s">
        <v>145</v>
      </c>
      <c r="S55" t="s">
        <v>164</v>
      </c>
      <c r="T55" s="57">
        <f>M54+T51+(T31/T52/60/60/24)</f>
        <v>0.67617581517513248</v>
      </c>
      <c r="X55" s="47" t="s">
        <v>157</v>
      </c>
      <c r="Y55" s="46"/>
      <c r="Z55" s="46">
        <f>SUM(Z52:Z54)</f>
        <v>270.67500000000001</v>
      </c>
      <c r="AD55" s="47" t="s">
        <v>157</v>
      </c>
      <c r="AE55" s="46"/>
      <c r="AF55" s="46">
        <f>SUM(AF52:AF54)</f>
        <v>3.3066</v>
      </c>
    </row>
    <row r="56" spans="4:32" ht="15.75" thickBot="1" x14ac:dyDescent="0.3">
      <c r="E56" s="1" t="s">
        <v>154</v>
      </c>
      <c r="F56" t="s">
        <v>156</v>
      </c>
      <c r="G56" s="57">
        <f>G53</f>
        <v>5</v>
      </c>
      <c r="K56" s="1" t="s">
        <v>154</v>
      </c>
      <c r="L56" t="s">
        <v>159</v>
      </c>
      <c r="M56">
        <f>M54+M50</f>
        <v>0.67500000000000004</v>
      </c>
      <c r="R56" s="1" t="s">
        <v>154</v>
      </c>
      <c r="S56" t="s">
        <v>161</v>
      </c>
      <c r="T56" s="57">
        <f>0.1666666</f>
        <v>0.1666666</v>
      </c>
      <c r="X56" s="1" t="s">
        <v>154</v>
      </c>
      <c r="Y56" t="s">
        <v>159</v>
      </c>
      <c r="Z56">
        <f>Z54+Z50</f>
        <v>0.67500000000000004</v>
      </c>
      <c r="AC56" s="55" t="s">
        <v>132</v>
      </c>
      <c r="AD56" s="55"/>
      <c r="AE56" s="55"/>
      <c r="AF56" s="55"/>
    </row>
    <row r="57" spans="4:32" ht="15.75" thickBot="1" x14ac:dyDescent="0.3">
      <c r="D57" s="28"/>
      <c r="E57" s="47" t="s">
        <v>147</v>
      </c>
      <c r="F57" s="46"/>
      <c r="G57" s="61">
        <f>SUM(G52:G56)</f>
        <v>15.261998726238364</v>
      </c>
      <c r="K57" s="1" t="s">
        <v>158</v>
      </c>
      <c r="L57" t="s">
        <v>160</v>
      </c>
      <c r="M57">
        <v>5</v>
      </c>
      <c r="R57" s="47" t="s">
        <v>157</v>
      </c>
      <c r="S57" s="46"/>
      <c r="T57" s="64">
        <f>SUM(T53:T56)</f>
        <v>6.1945277533397203</v>
      </c>
      <c r="X57" s="1" t="s">
        <v>158</v>
      </c>
      <c r="Y57" t="s">
        <v>160</v>
      </c>
      <c r="Z57">
        <f>Z53</f>
        <v>270</v>
      </c>
    </row>
    <row r="58" spans="4:32" ht="15.75" thickBot="1" x14ac:dyDescent="0.3">
      <c r="D58" s="55" t="s">
        <v>132</v>
      </c>
      <c r="E58" s="55"/>
      <c r="F58" s="55"/>
      <c r="G58" s="55"/>
      <c r="J58" s="28"/>
      <c r="K58" s="47" t="s">
        <v>147</v>
      </c>
      <c r="L58" s="51"/>
      <c r="M58" s="51">
        <f>SUM(M55+M56+M57)</f>
        <v>11.576495169990499</v>
      </c>
      <c r="R58" s="1" t="s">
        <v>154</v>
      </c>
      <c r="S58" t="s">
        <v>166</v>
      </c>
      <c r="T58" s="57">
        <f>T56</f>
        <v>0.1666666</v>
      </c>
      <c r="X58" s="47" t="s">
        <v>147</v>
      </c>
      <c r="Y58" s="46"/>
      <c r="Z58" s="46">
        <f>SUM(Z55:Z57)</f>
        <v>541.35</v>
      </c>
    </row>
    <row r="59" spans="4:32" ht="15.75" thickBot="1" x14ac:dyDescent="0.3">
      <c r="J59" s="55" t="s">
        <v>132</v>
      </c>
      <c r="K59" s="55"/>
      <c r="L59" s="55"/>
      <c r="M59" s="55"/>
      <c r="R59" s="1" t="s">
        <v>158</v>
      </c>
      <c r="S59" t="s">
        <v>162</v>
      </c>
      <c r="T59" s="57">
        <f>M54+T51</f>
        <v>0.67500000000000004</v>
      </c>
      <c r="W59" s="55" t="s">
        <v>132</v>
      </c>
      <c r="X59" s="55"/>
      <c r="Y59" s="55"/>
      <c r="Z59" s="55"/>
    </row>
    <row r="60" spans="4:32" x14ac:dyDescent="0.25">
      <c r="R60" s="1" t="s">
        <v>165</v>
      </c>
      <c r="S60" t="s">
        <v>156</v>
      </c>
      <c r="T60" s="57">
        <v>5</v>
      </c>
    </row>
    <row r="61" spans="4:32" ht="15.75" thickBot="1" x14ac:dyDescent="0.3">
      <c r="R61" s="47" t="s">
        <v>147</v>
      </c>
      <c r="S61" s="51"/>
      <c r="T61" s="64">
        <f>T57+T58+T59+T60</f>
        <v>12.03619435333972</v>
      </c>
    </row>
    <row r="62" spans="4:32" ht="15.75" thickBot="1" x14ac:dyDescent="0.3">
      <c r="Q62" s="55" t="s">
        <v>132</v>
      </c>
      <c r="R62" s="55"/>
      <c r="S62" s="55"/>
      <c r="T62" s="55"/>
    </row>
    <row r="63" spans="4:32" x14ac:dyDescent="0.25">
      <c r="D63" s="27" t="s">
        <v>133</v>
      </c>
      <c r="E63" s="27"/>
      <c r="F63" s="27"/>
      <c r="G63" s="89"/>
      <c r="J63" s="27" t="s">
        <v>133</v>
      </c>
      <c r="K63" s="27"/>
      <c r="L63" s="27"/>
      <c r="M63" s="89"/>
      <c r="Q63" s="27" t="s">
        <v>133</v>
      </c>
      <c r="R63" s="27"/>
      <c r="S63" s="27"/>
      <c r="T63" s="89"/>
      <c r="W63" s="27" t="s">
        <v>133</v>
      </c>
      <c r="X63" s="27"/>
      <c r="Y63" s="27"/>
      <c r="Z63" s="89"/>
      <c r="AC63" s="27" t="s">
        <v>133</v>
      </c>
      <c r="AD63" s="27"/>
      <c r="AE63" s="27"/>
      <c r="AF63" s="89"/>
    </row>
    <row r="64" spans="4:32" x14ac:dyDescent="0.25">
      <c r="D64" s="88" t="s">
        <v>196</v>
      </c>
      <c r="E64" s="88" t="s">
        <v>134</v>
      </c>
      <c r="F64" s="87"/>
      <c r="G64" s="90"/>
      <c r="J64" s="88" t="s">
        <v>196</v>
      </c>
      <c r="K64" s="88" t="s">
        <v>134</v>
      </c>
      <c r="L64" s="87"/>
      <c r="M64" s="92">
        <v>610566078</v>
      </c>
      <c r="Q64" s="88" t="s">
        <v>196</v>
      </c>
      <c r="R64" s="88" t="s">
        <v>134</v>
      </c>
      <c r="S64" s="87"/>
      <c r="T64" s="92"/>
      <c r="W64" s="88" t="s">
        <v>196</v>
      </c>
      <c r="X64" s="88" t="s">
        <v>134</v>
      </c>
      <c r="Y64" s="87"/>
      <c r="Z64" s="92"/>
      <c r="AC64" s="88" t="s">
        <v>196</v>
      </c>
      <c r="AD64" s="88" t="s">
        <v>134</v>
      </c>
      <c r="AE64" s="87"/>
      <c r="AF64" s="92"/>
    </row>
    <row r="65" spans="4:32" x14ac:dyDescent="0.25">
      <c r="D65" s="1" t="s">
        <v>197</v>
      </c>
      <c r="E65" s="1" t="s">
        <v>203</v>
      </c>
      <c r="G65" s="18"/>
      <c r="J65" s="58" t="s">
        <v>197</v>
      </c>
      <c r="K65" s="58" t="s">
        <v>213</v>
      </c>
      <c r="L65" s="59"/>
      <c r="M65" s="91"/>
      <c r="Q65" s="58" t="s">
        <v>197</v>
      </c>
      <c r="R65" s="58" t="s">
        <v>213</v>
      </c>
      <c r="S65" s="59"/>
      <c r="T65" s="91"/>
      <c r="W65" s="58" t="s">
        <v>197</v>
      </c>
      <c r="X65" s="58" t="s">
        <v>213</v>
      </c>
      <c r="Y65" s="59"/>
      <c r="Z65" s="91"/>
      <c r="AC65" s="58" t="s">
        <v>197</v>
      </c>
      <c r="AD65" s="58" t="s">
        <v>213</v>
      </c>
      <c r="AE65" s="59"/>
      <c r="AF65" s="91"/>
    </row>
    <row r="66" spans="4:32" x14ac:dyDescent="0.25">
      <c r="D66" s="1"/>
      <c r="E66" s="1" t="s">
        <v>204</v>
      </c>
      <c r="G66" s="18"/>
      <c r="J66" s="1"/>
      <c r="K66" s="1" t="s">
        <v>214</v>
      </c>
      <c r="L66" t="s">
        <v>328</v>
      </c>
      <c r="M66" s="18">
        <v>768793329</v>
      </c>
      <c r="Q66" s="1"/>
      <c r="R66" s="1" t="s">
        <v>214</v>
      </c>
      <c r="T66" s="18"/>
      <c r="W66" s="1"/>
      <c r="X66" s="1" t="s">
        <v>214</v>
      </c>
      <c r="Z66" s="18"/>
      <c r="AC66" s="1"/>
      <c r="AD66" s="1" t="s">
        <v>214</v>
      </c>
      <c r="AF66" s="18"/>
    </row>
    <row r="67" spans="4:32" x14ac:dyDescent="0.25">
      <c r="D67" s="1"/>
      <c r="E67" s="1" t="s">
        <v>202</v>
      </c>
      <c r="F67" t="str">
        <f>F6</f>
        <v>Atlas V 551</v>
      </c>
      <c r="G67" s="18">
        <f>'Launcher Database'!F7</f>
        <v>3876.5864797408531</v>
      </c>
      <c r="J67" s="1"/>
      <c r="K67" s="1" t="s">
        <v>202</v>
      </c>
      <c r="L67" t="str">
        <f>L5</f>
        <v>Atlas V 551</v>
      </c>
      <c r="M67" s="18">
        <f>'Launcher Database'!F7</f>
        <v>3876.5864797408531</v>
      </c>
      <c r="Q67" s="1"/>
      <c r="R67" s="1" t="s">
        <v>202</v>
      </c>
      <c r="S67" t="str">
        <f>S5</f>
        <v>Atlas V 551</v>
      </c>
      <c r="T67" s="18">
        <f>'Launcher Database'!F7</f>
        <v>3876.5864797408531</v>
      </c>
      <c r="W67" s="1"/>
      <c r="X67" s="1" t="s">
        <v>202</v>
      </c>
      <c r="Y67" t="str">
        <f>Y5</f>
        <v>Anteres</v>
      </c>
      <c r="Z67" s="18">
        <f>'Launcher Database'!F13</f>
        <v>10365.853658536585</v>
      </c>
      <c r="AC67" s="1"/>
      <c r="AD67" s="1" t="s">
        <v>202</v>
      </c>
      <c r="AE67" t="str">
        <f>AE4</f>
        <v>Falcon Heavy</v>
      </c>
      <c r="AF67" s="18"/>
    </row>
    <row r="68" spans="4:32" x14ac:dyDescent="0.25">
      <c r="D68" s="1"/>
      <c r="E68" s="1" t="s">
        <v>205</v>
      </c>
      <c r="G68" s="18">
        <f>G67*(G8)</f>
        <v>23345898.703648616</v>
      </c>
      <c r="J68" s="1"/>
      <c r="K68" s="1" t="s">
        <v>205</v>
      </c>
      <c r="L68" t="s">
        <v>329</v>
      </c>
      <c r="M68" s="18">
        <f>M67*(M3+M11)*3</f>
        <v>109319713.61051267</v>
      </c>
      <c r="Q68" s="1"/>
      <c r="R68" s="1" t="s">
        <v>205</v>
      </c>
      <c r="T68" s="18">
        <f>T67*T3</f>
        <v>23474932.520504951</v>
      </c>
      <c r="W68" s="1"/>
      <c r="X68" s="1" t="s">
        <v>205</v>
      </c>
      <c r="Z68" s="18">
        <f>Z67*Z3</f>
        <v>137297310.99250051</v>
      </c>
      <c r="AC68" s="1"/>
      <c r="AD68" s="1" t="s">
        <v>205</v>
      </c>
      <c r="AF68" s="18"/>
    </row>
    <row r="69" spans="4:32" x14ac:dyDescent="0.25">
      <c r="D69" s="1"/>
      <c r="E69" s="1" t="s">
        <v>206</v>
      </c>
      <c r="G69" s="18">
        <f>G65+G66+G68</f>
        <v>23345898.703648616</v>
      </c>
      <c r="J69" s="94"/>
      <c r="K69" s="94" t="s">
        <v>206</v>
      </c>
      <c r="L69" s="63"/>
      <c r="M69" s="95">
        <f>SUM(M65:M66,M68)</f>
        <v>878113042.61051273</v>
      </c>
      <c r="Q69" s="94"/>
      <c r="R69" s="94" t="s">
        <v>206</v>
      </c>
      <c r="S69" s="63"/>
      <c r="T69" s="95">
        <f>SUM(T65:T66,T68)</f>
        <v>23474932.520504951</v>
      </c>
      <c r="W69" s="94"/>
      <c r="X69" s="94" t="s">
        <v>206</v>
      </c>
      <c r="Y69" s="63"/>
      <c r="Z69" s="95">
        <f>SUM(Z65:Z66,Z68)</f>
        <v>137297310.99250051</v>
      </c>
      <c r="AC69" s="94"/>
      <c r="AD69" s="94" t="s">
        <v>206</v>
      </c>
      <c r="AE69" s="63"/>
      <c r="AF69" s="95"/>
    </row>
    <row r="70" spans="4:32" x14ac:dyDescent="0.25">
      <c r="D70" s="58" t="s">
        <v>198</v>
      </c>
      <c r="E70" s="58" t="s">
        <v>245</v>
      </c>
      <c r="F70" s="59"/>
      <c r="G70" s="91"/>
      <c r="J70" s="58" t="s">
        <v>198</v>
      </c>
      <c r="K70" s="1" t="s">
        <v>216</v>
      </c>
      <c r="L70" t="s">
        <v>217</v>
      </c>
      <c r="M70" s="18">
        <v>300000</v>
      </c>
      <c r="Q70" s="58" t="s">
        <v>198</v>
      </c>
      <c r="R70" s="1" t="s">
        <v>216</v>
      </c>
      <c r="S70" t="s">
        <v>217</v>
      </c>
      <c r="T70" s="18">
        <v>300000</v>
      </c>
      <c r="W70" s="58" t="s">
        <v>198</v>
      </c>
      <c r="X70" s="1" t="s">
        <v>216</v>
      </c>
      <c r="Y70" t="s">
        <v>217</v>
      </c>
      <c r="Z70" s="18">
        <v>300000</v>
      </c>
      <c r="AC70" s="58" t="s">
        <v>198</v>
      </c>
      <c r="AD70" s="1" t="s">
        <v>216</v>
      </c>
      <c r="AE70" t="s">
        <v>217</v>
      </c>
      <c r="AF70" s="18">
        <v>300000</v>
      </c>
    </row>
    <row r="71" spans="4:32" x14ac:dyDescent="0.25">
      <c r="D71" s="1"/>
      <c r="E71" s="1" t="s">
        <v>211</v>
      </c>
      <c r="G71" s="18">
        <v>300000</v>
      </c>
      <c r="J71" s="1"/>
      <c r="K71" s="1" t="s">
        <v>325</v>
      </c>
      <c r="Q71" s="1"/>
      <c r="W71" s="1"/>
      <c r="AC71" s="1"/>
    </row>
    <row r="72" spans="4:32" x14ac:dyDescent="0.25">
      <c r="D72" s="1"/>
      <c r="E72" s="1" t="s">
        <v>212</v>
      </c>
      <c r="F72" t="str">
        <f>F7</f>
        <v>Falcon Heavy</v>
      </c>
      <c r="G72" s="18">
        <f>'Launcher Database'!F6</f>
        <v>2351.0971786833857</v>
      </c>
      <c r="Q72" s="1"/>
      <c r="R72" s="1" t="s">
        <v>212</v>
      </c>
      <c r="S72" t="str">
        <f>S6</f>
        <v>Falcon 9</v>
      </c>
      <c r="T72" s="18">
        <f>'Launcher Database'!F9</f>
        <v>2938.5964912280701</v>
      </c>
      <c r="W72" s="1"/>
      <c r="X72" s="1" t="s">
        <v>212</v>
      </c>
      <c r="Y72" t="str">
        <f>Y6</f>
        <v>Anteres</v>
      </c>
      <c r="Z72" s="18">
        <f>'Launcher Database'!F13</f>
        <v>10365.853658536585</v>
      </c>
      <c r="AC72" s="1"/>
      <c r="AD72" s="1" t="s">
        <v>239</v>
      </c>
      <c r="AE72" t="str">
        <f>AE4</f>
        <v>Falcon Heavy</v>
      </c>
      <c r="AF72" s="18">
        <f>150000000/AF4</f>
        <v>7142.8571428571431</v>
      </c>
    </row>
    <row r="73" spans="4:32" x14ac:dyDescent="0.25">
      <c r="D73" s="1"/>
      <c r="E73" s="1" t="s">
        <v>207</v>
      </c>
      <c r="G73" s="18">
        <f>G72*G5</f>
        <v>125351455.43001506</v>
      </c>
      <c r="J73" s="1"/>
      <c r="K73" s="1" t="s">
        <v>212</v>
      </c>
      <c r="L73" t="s">
        <v>187</v>
      </c>
      <c r="M73" s="18">
        <f>'Launcher Database'!F7</f>
        <v>3876.5864797408531</v>
      </c>
      <c r="Q73" s="1"/>
      <c r="R73" s="1" t="s">
        <v>218</v>
      </c>
      <c r="T73" s="18">
        <f>T4*T72</f>
        <v>60156820.97547444</v>
      </c>
      <c r="W73" s="1"/>
      <c r="X73" s="1" t="s">
        <v>218</v>
      </c>
      <c r="Z73" s="18">
        <f>Z4*Z72</f>
        <v>41077846.277367167</v>
      </c>
      <c r="AC73" s="1"/>
      <c r="AD73" s="1" t="s">
        <v>218</v>
      </c>
      <c r="AF73" s="18">
        <f>AF3*AF72</f>
        <v>128571428.57142858</v>
      </c>
    </row>
    <row r="74" spans="4:32" x14ac:dyDescent="0.25">
      <c r="E74" s="1" t="s">
        <v>210</v>
      </c>
      <c r="G74" s="18">
        <f>G70+G71+G73</f>
        <v>125651455.43001506</v>
      </c>
      <c r="J74" s="1"/>
      <c r="K74" s="1" t="s">
        <v>218</v>
      </c>
      <c r="M74" s="18">
        <f>M4*M73</f>
        <v>49577997.995014787</v>
      </c>
      <c r="Q74" s="1"/>
      <c r="R74" s="1" t="s">
        <v>135</v>
      </c>
      <c r="S74" t="s">
        <v>138</v>
      </c>
      <c r="T74" s="18">
        <f>T73+T70+(T69/60)</f>
        <v>60848069.85081619</v>
      </c>
      <c r="W74" s="1"/>
      <c r="X74" s="1" t="s">
        <v>135</v>
      </c>
      <c r="Y74" t="s">
        <v>138</v>
      </c>
      <c r="Z74" s="18">
        <f>Z73+Z70</f>
        <v>41377846.277367167</v>
      </c>
      <c r="AC74" s="1"/>
      <c r="AD74" s="1" t="s">
        <v>135</v>
      </c>
      <c r="AE74" t="s">
        <v>138</v>
      </c>
      <c r="AF74" s="18">
        <f>AF73+AF70</f>
        <v>128871428.57142858</v>
      </c>
    </row>
    <row r="75" spans="4:32" x14ac:dyDescent="0.25">
      <c r="D75" s="88" t="s">
        <v>199</v>
      </c>
      <c r="E75" s="87"/>
      <c r="F75" s="87"/>
      <c r="G75" s="92"/>
      <c r="J75" s="1"/>
      <c r="K75" s="1" t="s">
        <v>135</v>
      </c>
      <c r="L75" t="s">
        <v>331</v>
      </c>
      <c r="M75" s="18">
        <f>M74+M70</f>
        <v>49877997.995014787</v>
      </c>
      <c r="Q75" s="88" t="s">
        <v>199</v>
      </c>
      <c r="R75" s="87"/>
      <c r="S75" s="87"/>
      <c r="T75" s="87"/>
      <c r="W75" s="88" t="s">
        <v>199</v>
      </c>
      <c r="X75" s="87"/>
      <c r="Y75" s="87"/>
      <c r="Z75" s="87"/>
      <c r="AC75" s="88" t="s">
        <v>199</v>
      </c>
      <c r="AD75" s="87"/>
      <c r="AE75" s="87"/>
      <c r="AF75" s="87"/>
    </row>
    <row r="76" spans="4:32" x14ac:dyDescent="0.25">
      <c r="D76" s="1" t="s">
        <v>200</v>
      </c>
      <c r="E76" s="86" t="s">
        <v>201</v>
      </c>
      <c r="F76" t="s">
        <v>330</v>
      </c>
      <c r="G76" s="18">
        <f>(G69/60)+G74+G64 +(G75/180)</f>
        <v>126040553.74174254</v>
      </c>
      <c r="J76" s="88" t="s">
        <v>199</v>
      </c>
      <c r="K76" s="87"/>
      <c r="L76" s="87"/>
      <c r="M76" s="87"/>
      <c r="Q76" s="1" t="s">
        <v>215</v>
      </c>
      <c r="R76" s="1" t="s">
        <v>201</v>
      </c>
      <c r="S76" t="s">
        <v>330</v>
      </c>
      <c r="T76" s="18">
        <f>T69/60+T74+T64</f>
        <v>61239318.726157941</v>
      </c>
      <c r="W76" s="1" t="s">
        <v>215</v>
      </c>
      <c r="X76" s="1" t="s">
        <v>201</v>
      </c>
      <c r="Y76" t="s">
        <v>330</v>
      </c>
      <c r="Z76" s="18">
        <f>Z69/60+Z74+Z64</f>
        <v>43666134.793908842</v>
      </c>
      <c r="AC76" s="1" t="s">
        <v>215</v>
      </c>
      <c r="AD76" s="1" t="s">
        <v>201</v>
      </c>
      <c r="AE76" t="s">
        <v>351</v>
      </c>
      <c r="AF76" s="18">
        <f>AF69/60+AF74+AF64</f>
        <v>128871428.57142858</v>
      </c>
    </row>
    <row r="77" spans="4:32" x14ac:dyDescent="0.25">
      <c r="D77" s="1"/>
      <c r="E77" s="47" t="s">
        <v>136</v>
      </c>
      <c r="F77" s="46"/>
      <c r="G77" s="93">
        <f>G76/G39</f>
        <v>63020.276870871268</v>
      </c>
      <c r="J77" s="1" t="s">
        <v>215</v>
      </c>
      <c r="K77" s="1" t="s">
        <v>201</v>
      </c>
      <c r="L77" t="s">
        <v>330</v>
      </c>
      <c r="M77" s="18">
        <f>(M69+M64)/60+M75</f>
        <v>74689316.671856672</v>
      </c>
      <c r="R77" s="47" t="s">
        <v>136</v>
      </c>
      <c r="S77" s="46"/>
      <c r="T77" s="93">
        <f>T76/T40</f>
        <v>30451.353383285084</v>
      </c>
      <c r="X77" s="47" t="s">
        <v>136</v>
      </c>
      <c r="Y77" s="46"/>
      <c r="Z77" s="93">
        <f>Z76/Z39</f>
        <v>21858.947330950006</v>
      </c>
      <c r="AD77" s="47" t="s">
        <v>136</v>
      </c>
      <c r="AE77" s="46"/>
      <c r="AF77" s="93">
        <f>AF76/AF39</f>
        <v>64449.438793705413</v>
      </c>
    </row>
    <row r="78" spans="4:32" x14ac:dyDescent="0.25">
      <c r="E78" s="47" t="s">
        <v>137</v>
      </c>
      <c r="F78" s="46"/>
      <c r="G78" s="93">
        <f>G76/G40</f>
        <v>63020.276870871268</v>
      </c>
      <c r="K78" s="47" t="s">
        <v>136</v>
      </c>
      <c r="L78" s="46"/>
      <c r="M78" s="93">
        <f>M77/M39</f>
        <v>38054.173012329287</v>
      </c>
      <c r="N78" t="s">
        <v>326</v>
      </c>
      <c r="R78" s="47" t="s">
        <v>137</v>
      </c>
      <c r="S78" s="46"/>
      <c r="T78" s="93">
        <f>T76/T40</f>
        <v>30451.353383285084</v>
      </c>
      <c r="X78" s="47" t="s">
        <v>137</v>
      </c>
      <c r="Y78" s="46"/>
      <c r="Z78" s="93">
        <f>Z76/Z40</f>
        <v>21858.947330950006</v>
      </c>
      <c r="AD78" s="47" t="s">
        <v>137</v>
      </c>
      <c r="AE78" s="46"/>
      <c r="AF78" s="93">
        <v>0</v>
      </c>
    </row>
    <row r="79" spans="4:32" x14ac:dyDescent="0.25">
      <c r="G79" s="18"/>
      <c r="K79" s="47" t="s">
        <v>137</v>
      </c>
      <c r="L79" s="46"/>
      <c r="M79" s="93">
        <f>M77/M40</f>
        <v>38054.173012329287</v>
      </c>
    </row>
    <row r="81" spans="11:13" x14ac:dyDescent="0.25">
      <c r="K81" t="s">
        <v>350</v>
      </c>
      <c r="M81" s="18">
        <f>(M68+M63)/60+M75</f>
        <v>51699993.221856661</v>
      </c>
    </row>
    <row r="82" spans="11:13" x14ac:dyDescent="0.25">
      <c r="M82" s="18">
        <f>M81/M39</f>
        <v>26341.123128016403</v>
      </c>
    </row>
    <row r="83" spans="11:13" x14ac:dyDescent="0.25">
      <c r="M83" s="18">
        <f>M81/M40</f>
        <v>26341.123128016403</v>
      </c>
    </row>
  </sheetData>
  <mergeCells count="10">
    <mergeCell ref="Q35:T35"/>
    <mergeCell ref="D34:G34"/>
    <mergeCell ref="J34:M34"/>
    <mergeCell ref="Q1:T1"/>
    <mergeCell ref="W34:Z34"/>
    <mergeCell ref="AC34:AF34"/>
    <mergeCell ref="AC1:AF1"/>
    <mergeCell ref="W1:Z1"/>
    <mergeCell ref="D1:G1"/>
    <mergeCell ref="J1:M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3A57-50A6-4EC7-8215-D5086793F090}">
  <sheetPr codeName="Sheet2"/>
  <dimension ref="C2:K16"/>
  <sheetViews>
    <sheetView zoomScale="55" zoomScaleNormal="55" workbookViewId="0">
      <selection activeCell="K19" sqref="K19"/>
    </sheetView>
  </sheetViews>
  <sheetFormatPr defaultRowHeight="15" x14ac:dyDescent="0.25"/>
  <cols>
    <col min="3" max="3" width="11.28515625" bestFit="1" customWidth="1"/>
    <col min="4" max="4" width="8.85546875" bestFit="1" customWidth="1"/>
    <col min="5" max="5" width="10" bestFit="1" customWidth="1"/>
    <col min="6" max="6" width="8.5703125" bestFit="1" customWidth="1"/>
    <col min="7" max="7" width="18.85546875" bestFit="1" customWidth="1"/>
    <col min="8" max="8" width="22.28515625" bestFit="1" customWidth="1"/>
    <col min="9" max="9" width="19.5703125" bestFit="1" customWidth="1"/>
    <col min="10" max="10" width="19.7109375" bestFit="1" customWidth="1"/>
    <col min="11" max="11" width="59" bestFit="1" customWidth="1"/>
  </cols>
  <sheetData>
    <row r="2" spans="3:11" ht="15.75" thickBot="1" x14ac:dyDescent="0.3"/>
    <row r="3" spans="3:11" ht="15.75" thickBot="1" x14ac:dyDescent="0.3">
      <c r="C3" s="176" t="s">
        <v>16</v>
      </c>
      <c r="D3" s="177"/>
      <c r="E3" s="177"/>
      <c r="F3" s="177"/>
      <c r="G3" s="177"/>
      <c r="H3" s="177"/>
      <c r="I3" s="177"/>
      <c r="J3" s="177"/>
      <c r="K3" s="178"/>
    </row>
    <row r="4" spans="3:11" ht="15.75" thickBot="1" x14ac:dyDescent="0.3">
      <c r="C4" s="5" t="s">
        <v>17</v>
      </c>
      <c r="D4" s="5" t="s">
        <v>18</v>
      </c>
      <c r="E4" s="5" t="s">
        <v>19</v>
      </c>
      <c r="F4" s="5" t="s">
        <v>84</v>
      </c>
      <c r="G4" s="5" t="s">
        <v>21</v>
      </c>
      <c r="H4" s="5" t="s">
        <v>183</v>
      </c>
      <c r="I4" s="5" t="s">
        <v>184</v>
      </c>
      <c r="J4" s="5" t="s">
        <v>22</v>
      </c>
      <c r="K4" s="5" t="s">
        <v>23</v>
      </c>
    </row>
    <row r="5" spans="3:11" x14ac:dyDescent="0.25">
      <c r="C5" s="6" t="s">
        <v>24</v>
      </c>
      <c r="D5" s="7">
        <v>3490</v>
      </c>
      <c r="E5" s="8">
        <v>27200</v>
      </c>
      <c r="F5" s="6">
        <v>462</v>
      </c>
      <c r="G5" s="6">
        <v>22977</v>
      </c>
      <c r="H5" s="9">
        <v>1910</v>
      </c>
      <c r="I5" s="82">
        <f>F5*9.81*LN((G5+E5+D5)/(D5+G5))</f>
        <v>3203.8245663562479</v>
      </c>
      <c r="J5" s="10">
        <f>0.5*(G5+D5)*(I5^2)</f>
        <v>135835152923.28055</v>
      </c>
      <c r="K5" s="11" t="s">
        <v>26</v>
      </c>
    </row>
    <row r="6" spans="3:11" x14ac:dyDescent="0.25">
      <c r="C6" s="12" t="s">
        <v>27</v>
      </c>
      <c r="D6" s="12">
        <v>2462</v>
      </c>
      <c r="E6" s="12">
        <v>20830</v>
      </c>
      <c r="F6" s="12">
        <v>451</v>
      </c>
      <c r="G6" s="12">
        <v>18850</v>
      </c>
      <c r="H6" s="13">
        <v>3076</v>
      </c>
      <c r="I6" s="13">
        <f t="shared" ref="I6:I8" si="0">F6*9.81*LN((G6+E6+D6)/(D6+G6))</f>
        <v>3016.3820643287418</v>
      </c>
      <c r="J6" s="14">
        <f t="shared" ref="J6:J8" si="1">0.5*(G6+D6)*(I6^2)</f>
        <v>96954263437.291916</v>
      </c>
      <c r="K6" s="15" t="s">
        <v>28</v>
      </c>
    </row>
    <row r="7" spans="3:11" x14ac:dyDescent="0.25">
      <c r="C7" s="12" t="s">
        <v>13</v>
      </c>
      <c r="D7" s="12">
        <v>3900</v>
      </c>
      <c r="E7" s="12">
        <v>92670</v>
      </c>
      <c r="F7" s="12">
        <v>348</v>
      </c>
      <c r="G7" s="12">
        <v>15600</v>
      </c>
      <c r="H7" s="13">
        <v>5361</v>
      </c>
      <c r="I7" s="13">
        <f t="shared" si="0"/>
        <v>5972.9282445330382</v>
      </c>
      <c r="J7" s="14">
        <f t="shared" si="1"/>
        <v>347839750189.82013</v>
      </c>
      <c r="K7" s="15" t="s">
        <v>29</v>
      </c>
    </row>
    <row r="8" spans="3:11" x14ac:dyDescent="0.25">
      <c r="C8" s="12" t="s">
        <v>30</v>
      </c>
      <c r="D8" s="12">
        <v>4540</v>
      </c>
      <c r="E8" s="12">
        <v>14700</v>
      </c>
      <c r="F8" s="12">
        <v>446</v>
      </c>
      <c r="G8" s="12">
        <v>10865</v>
      </c>
      <c r="H8" s="12">
        <v>2350</v>
      </c>
      <c r="I8" s="13">
        <f t="shared" si="0"/>
        <v>2931.4204323226427</v>
      </c>
      <c r="J8" s="14">
        <f t="shared" si="1"/>
        <v>66189321347.375343</v>
      </c>
      <c r="K8" s="15" t="s">
        <v>31</v>
      </c>
    </row>
    <row r="9" spans="3:11" ht="15.75" thickBot="1" x14ac:dyDescent="0.3"/>
    <row r="10" spans="3:11" ht="15.75" thickBot="1" x14ac:dyDescent="0.3">
      <c r="C10" s="176" t="s">
        <v>381</v>
      </c>
      <c r="D10" s="177"/>
      <c r="E10" s="177"/>
      <c r="F10" s="177"/>
      <c r="G10" s="177"/>
      <c r="H10" s="177"/>
      <c r="I10" s="177"/>
      <c r="J10" s="177"/>
    </row>
    <row r="11" spans="3:11" ht="15.75" thickBot="1" x14ac:dyDescent="0.3">
      <c r="C11" s="5" t="s">
        <v>17</v>
      </c>
      <c r="D11" s="5" t="s">
        <v>18</v>
      </c>
      <c r="E11" s="5" t="s">
        <v>19</v>
      </c>
      <c r="F11" s="5" t="s">
        <v>84</v>
      </c>
      <c r="G11" s="5" t="s">
        <v>21</v>
      </c>
      <c r="H11" s="5" t="s">
        <v>183</v>
      </c>
      <c r="I11" s="5" t="s">
        <v>184</v>
      </c>
      <c r="J11" s="5" t="s">
        <v>22</v>
      </c>
    </row>
    <row r="12" spans="3:11" x14ac:dyDescent="0.25">
      <c r="C12" s="6" t="s">
        <v>24</v>
      </c>
      <c r="D12" s="7">
        <v>3490</v>
      </c>
      <c r="E12" s="8">
        <v>27200</v>
      </c>
      <c r="F12" s="6">
        <v>462</v>
      </c>
      <c r="G12" s="6">
        <v>22977</v>
      </c>
      <c r="H12" s="9">
        <v>1910</v>
      </c>
      <c r="I12" s="82">
        <f>F12*9.81*LN((G12+E12+D12)/(D12+G12))</f>
        <v>3203.8245663562479</v>
      </c>
      <c r="J12" s="10">
        <f>0.5*(G12+D12)*(I12^2)</f>
        <v>135835152923.28055</v>
      </c>
    </row>
    <row r="13" spans="3:11" x14ac:dyDescent="0.25">
      <c r="C13" s="12" t="s">
        <v>27</v>
      </c>
      <c r="D13" s="12">
        <v>2462</v>
      </c>
      <c r="E13" s="12">
        <v>20830</v>
      </c>
      <c r="F13" s="12">
        <v>451</v>
      </c>
      <c r="G13" s="12">
        <v>18850</v>
      </c>
      <c r="H13" s="13">
        <v>3076</v>
      </c>
      <c r="I13" s="13">
        <f t="shared" ref="I13:I15" si="2">F13*9.81*LN((G13+E13+D13)/(D13+G13))</f>
        <v>3016.3820643287418</v>
      </c>
      <c r="J13" s="14">
        <f t="shared" ref="J13:J15" si="3">0.5*(G13+D13)*(I13^2)</f>
        <v>96954263437.291916</v>
      </c>
    </row>
    <row r="14" spans="3:11" x14ac:dyDescent="0.25">
      <c r="C14" s="12" t="s">
        <v>13</v>
      </c>
      <c r="D14" s="12">
        <v>3900</v>
      </c>
      <c r="E14" s="12">
        <v>92670</v>
      </c>
      <c r="F14" s="12">
        <v>348</v>
      </c>
      <c r="G14" s="12">
        <v>15600</v>
      </c>
      <c r="H14" s="13">
        <v>5361</v>
      </c>
      <c r="I14" s="13">
        <f t="shared" si="2"/>
        <v>5972.9282445330382</v>
      </c>
      <c r="J14" s="14">
        <f t="shared" si="3"/>
        <v>347839750189.82013</v>
      </c>
    </row>
    <row r="15" spans="3:11" x14ac:dyDescent="0.25">
      <c r="C15" s="12" t="s">
        <v>30</v>
      </c>
      <c r="D15" s="12">
        <v>4540</v>
      </c>
      <c r="E15" s="12">
        <v>14700</v>
      </c>
      <c r="F15" s="12">
        <v>446</v>
      </c>
      <c r="G15" s="12">
        <v>10865</v>
      </c>
      <c r="H15" s="12">
        <v>2350</v>
      </c>
      <c r="I15" s="13">
        <f t="shared" si="2"/>
        <v>2931.4204323226427</v>
      </c>
      <c r="J15" s="14">
        <f t="shared" si="3"/>
        <v>66189321347.375343</v>
      </c>
    </row>
    <row r="16" spans="3:11" x14ac:dyDescent="0.25">
      <c r="E16" s="62"/>
    </row>
  </sheetData>
  <mergeCells count="2">
    <mergeCell ref="C3:K3"/>
    <mergeCell ref="C10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59C2-44B5-40C0-B117-24B7299CEE07}">
  <sheetPr codeName="Sheet3"/>
  <dimension ref="B4:M28"/>
  <sheetViews>
    <sheetView zoomScale="85" zoomScaleNormal="85" workbookViewId="0">
      <selection activeCell="D31" sqref="D31"/>
    </sheetView>
  </sheetViews>
  <sheetFormatPr defaultRowHeight="15" x14ac:dyDescent="0.25"/>
  <cols>
    <col min="3" max="3" width="21" bestFit="1" customWidth="1"/>
    <col min="4" max="4" width="20.28515625" bestFit="1" customWidth="1"/>
    <col min="5" max="5" width="22.5703125" customWidth="1"/>
    <col min="6" max="6" width="18" customWidth="1"/>
    <col min="7" max="7" width="11" bestFit="1" customWidth="1"/>
    <col min="8" max="8" width="10.7109375" bestFit="1" customWidth="1"/>
    <col min="9" max="9" width="8.5703125" bestFit="1" customWidth="1"/>
    <col min="10" max="10" width="10.85546875" bestFit="1" customWidth="1"/>
    <col min="11" max="11" width="10.140625" customWidth="1"/>
  </cols>
  <sheetData>
    <row r="4" spans="2:13" ht="15.75" thickBot="1" x14ac:dyDescent="0.3">
      <c r="D4" s="179" t="s">
        <v>372</v>
      </c>
      <c r="E4" s="179"/>
      <c r="F4" s="179"/>
      <c r="G4" s="179"/>
      <c r="H4" s="179"/>
      <c r="I4" s="179"/>
      <c r="J4" s="179"/>
      <c r="K4" s="179"/>
      <c r="L4" s="179"/>
      <c r="M4" s="179"/>
    </row>
    <row r="5" spans="2:13" ht="15.75" thickBot="1" x14ac:dyDescent="0.3">
      <c r="D5" s="131" t="s">
        <v>365</v>
      </c>
      <c r="E5" s="128" t="s">
        <v>371</v>
      </c>
      <c r="F5" s="129" t="s">
        <v>354</v>
      </c>
      <c r="G5" s="129" t="s">
        <v>12</v>
      </c>
      <c r="H5" s="129" t="s">
        <v>8</v>
      </c>
      <c r="I5" s="129" t="s">
        <v>9</v>
      </c>
      <c r="J5" s="129" t="s">
        <v>11</v>
      </c>
      <c r="K5" s="129" t="s">
        <v>45</v>
      </c>
      <c r="L5" s="129" t="s">
        <v>20</v>
      </c>
      <c r="M5" s="129" t="s">
        <v>1</v>
      </c>
    </row>
    <row r="6" spans="2:13" x14ac:dyDescent="0.25">
      <c r="D6" s="183" t="s">
        <v>366</v>
      </c>
      <c r="E6" s="130" t="s">
        <v>352</v>
      </c>
      <c r="F6" s="130" t="s">
        <v>36</v>
      </c>
      <c r="G6" s="21"/>
      <c r="H6" s="21"/>
      <c r="I6" s="21"/>
      <c r="J6" s="21"/>
      <c r="K6" s="21"/>
      <c r="L6" s="21"/>
      <c r="M6" s="21"/>
    </row>
    <row r="7" spans="2:13" x14ac:dyDescent="0.25">
      <c r="B7" s="23"/>
      <c r="D7" s="184"/>
      <c r="E7" s="125" t="s">
        <v>353</v>
      </c>
      <c r="F7" s="125" t="s">
        <v>36</v>
      </c>
      <c r="G7" s="121"/>
      <c r="H7" s="121"/>
      <c r="I7" s="121"/>
      <c r="J7" s="121"/>
      <c r="K7" s="121"/>
      <c r="L7" s="121"/>
      <c r="M7" s="121"/>
    </row>
    <row r="8" spans="2:13" ht="15.75" thickBot="1" x14ac:dyDescent="0.3">
      <c r="B8" s="23"/>
      <c r="D8" s="185"/>
      <c r="E8" s="132" t="s">
        <v>41</v>
      </c>
      <c r="F8" s="132" t="s">
        <v>364</v>
      </c>
      <c r="G8" s="26">
        <f>'Sizing and Cost Calcs'!G13</f>
        <v>59338.434821279741</v>
      </c>
      <c r="H8" s="26">
        <f>'Sizing and Cost Calcs'!G8</f>
        <v>6022.2824450466724</v>
      </c>
      <c r="I8" s="26">
        <f>'Sizing and Cost Calcs'!G9</f>
        <v>2000</v>
      </c>
      <c r="J8" s="26">
        <f>'Sizing and Cost Calcs'!G12</f>
        <v>51316.152376233069</v>
      </c>
      <c r="K8" s="35">
        <f>'Sizing and Cost Calcs'!G10^2*('Sizing and Cost Calcs'!G8+'Sizing and Cost Calcs'!G9)*0.5</f>
        <v>329248911653.11652</v>
      </c>
      <c r="L8" s="25" t="s">
        <v>25</v>
      </c>
      <c r="M8" s="25">
        <v>450</v>
      </c>
    </row>
    <row r="9" spans="2:13" x14ac:dyDescent="0.25">
      <c r="D9" s="180" t="s">
        <v>367</v>
      </c>
      <c r="E9" s="125" t="s">
        <v>352</v>
      </c>
      <c r="F9" s="125" t="str">
        <f>'Sizing and Cost Calcs'!L5</f>
        <v>Atlas V 551</v>
      </c>
      <c r="G9" s="121"/>
      <c r="H9" s="121"/>
      <c r="I9" s="121"/>
      <c r="J9" s="121"/>
      <c r="K9" s="121"/>
      <c r="L9" s="121"/>
      <c r="M9" s="121"/>
    </row>
    <row r="10" spans="2:13" x14ac:dyDescent="0.25">
      <c r="D10" s="181"/>
      <c r="E10" s="86" t="s">
        <v>353</v>
      </c>
      <c r="F10" s="86" t="str">
        <f>'Sizing and Cost Calcs'!L6</f>
        <v>Atlas V 551</v>
      </c>
      <c r="G10" s="2"/>
      <c r="H10" s="2"/>
      <c r="I10" s="2"/>
      <c r="J10" s="2"/>
      <c r="K10" s="2"/>
      <c r="L10" s="2"/>
      <c r="M10" s="2"/>
    </row>
    <row r="11" spans="2:13" x14ac:dyDescent="0.25">
      <c r="D11" s="181"/>
      <c r="E11" s="125" t="s">
        <v>2</v>
      </c>
      <c r="F11" s="125" t="s">
        <v>363</v>
      </c>
      <c r="G11" s="122">
        <f>'Sizing and Cost Calcs'!M15</f>
        <v>22189.083870922073</v>
      </c>
      <c r="H11" s="122">
        <f>'Sizing and Cost Calcs'!M11</f>
        <v>3490</v>
      </c>
      <c r="I11" s="122">
        <f>'Sizing and Cost Calcs'!M12</f>
        <v>5909.9978401806566</v>
      </c>
      <c r="J11" s="122">
        <f>'Sizing and Cost Calcs'!M14</f>
        <v>12789.086030741417</v>
      </c>
      <c r="K11" s="133">
        <f>'Sizing and Cost Calcs'!M8</f>
        <v>67867984406.10434</v>
      </c>
      <c r="L11" s="121" t="s">
        <v>48</v>
      </c>
      <c r="M11" s="122">
        <f>'Sizing and Cost Calcs'!M13</f>
        <v>451</v>
      </c>
    </row>
    <row r="12" spans="2:13" ht="15.75" thickBot="1" x14ac:dyDescent="0.3">
      <c r="B12" s="23"/>
      <c r="D12" s="182"/>
      <c r="E12" s="86" t="s">
        <v>3</v>
      </c>
      <c r="F12" s="86" t="s">
        <v>364</v>
      </c>
      <c r="G12" s="17">
        <f>'Sizing and Cost Calcs'!M22</f>
        <v>23213.637238994379</v>
      </c>
      <c r="H12" s="17">
        <f>'Sizing and Cost Calcs'!M17</f>
        <v>1962.710282723996</v>
      </c>
      <c r="I12" s="17">
        <f>'Sizing and Cost Calcs'!M17</f>
        <v>1962.710282723996</v>
      </c>
      <c r="J12" s="17">
        <f>'Sizing and Cost Calcs'!M20</f>
        <v>15340.929116089726</v>
      </c>
      <c r="K12" s="16">
        <f>'Sizing and Cost Calcs'!M21</f>
        <v>98408851536.308151</v>
      </c>
      <c r="L12" s="2" t="s">
        <v>25</v>
      </c>
      <c r="M12" s="17">
        <f>'Sizing and Cost Calcs'!M19</f>
        <v>450</v>
      </c>
    </row>
    <row r="13" spans="2:13" x14ac:dyDescent="0.25">
      <c r="D13" s="183" t="s">
        <v>368</v>
      </c>
      <c r="E13" s="134" t="s">
        <v>352</v>
      </c>
      <c r="F13" s="134" t="str">
        <f>'Sizing and Cost Calcs'!S5</f>
        <v>Atlas V 551</v>
      </c>
      <c r="G13" s="135"/>
      <c r="H13" s="135"/>
      <c r="I13" s="135"/>
      <c r="J13" s="135"/>
      <c r="K13" s="135"/>
      <c r="L13" s="135"/>
      <c r="M13" s="135"/>
    </row>
    <row r="14" spans="2:13" x14ac:dyDescent="0.25">
      <c r="B14" s="23"/>
      <c r="D14" s="184"/>
      <c r="E14" s="86" t="s">
        <v>353</v>
      </c>
      <c r="F14" s="86" t="str">
        <f>'Sizing and Cost Calcs'!S6</f>
        <v>Falcon 9</v>
      </c>
      <c r="G14" s="2"/>
      <c r="H14" s="2"/>
      <c r="I14" s="2"/>
      <c r="J14" s="2"/>
      <c r="K14" s="2"/>
      <c r="L14" s="2"/>
      <c r="M14" s="2"/>
    </row>
    <row r="15" spans="2:13" x14ac:dyDescent="0.25">
      <c r="B15" s="23"/>
      <c r="D15" s="184"/>
      <c r="E15" s="125" t="s">
        <v>69</v>
      </c>
      <c r="F15" s="125" t="s">
        <v>356</v>
      </c>
      <c r="G15" s="122">
        <f>'Sizing and Cost Calcs'!T16</f>
        <v>25011.276391653988</v>
      </c>
      <c r="H15" s="122">
        <f>'Sizing and Cost Calcs'!T11</f>
        <v>4540</v>
      </c>
      <c r="I15" s="122">
        <f>'Sizing and Cost Calcs'!T13</f>
        <v>6055.5678670360103</v>
      </c>
      <c r="J15" s="122">
        <f>'Sizing and Cost Calcs'!T15</f>
        <v>14415.708524617978</v>
      </c>
      <c r="K15" s="133">
        <f>'Sizing and Cost Calcs'!T8</f>
        <v>76500000000</v>
      </c>
      <c r="L15" s="121" t="s">
        <v>48</v>
      </c>
      <c r="M15" s="122">
        <f>'Sizing and Cost Calcs'!T14</f>
        <v>348</v>
      </c>
    </row>
    <row r="16" spans="2:13" x14ac:dyDescent="0.25">
      <c r="D16" s="184"/>
      <c r="E16" s="86" t="s">
        <v>357</v>
      </c>
      <c r="F16" s="86" t="s">
        <v>358</v>
      </c>
      <c r="G16" s="17">
        <f>'Sizing and Cost Calcs'!T26</f>
        <v>11934.401816553594</v>
      </c>
      <c r="H16" s="17">
        <f>'Sizing and Cost Calcs'!T24</f>
        <v>2140.2620589115086</v>
      </c>
      <c r="I16" s="17">
        <f>'Sizing and Cost Calcs'!T19</f>
        <v>6055.5678670360103</v>
      </c>
      <c r="J16" s="17">
        <f>'Sizing and Cost Calcs'!T25</f>
        <v>3738.5718906060756</v>
      </c>
      <c r="K16" s="16">
        <f>'Sizing and Cost Calcs'!T18</f>
        <v>6714023875.3362074</v>
      </c>
      <c r="L16" s="2" t="s">
        <v>48</v>
      </c>
      <c r="M16" s="2">
        <f>'Sizing and Cost Calcs'!T21</f>
        <v>348</v>
      </c>
    </row>
    <row r="17" spans="2:13" ht="15.75" thickBot="1" x14ac:dyDescent="0.3">
      <c r="B17" s="23"/>
      <c r="D17" s="185"/>
      <c r="E17" s="136" t="s">
        <v>3</v>
      </c>
      <c r="F17" s="136" t="s">
        <v>364</v>
      </c>
      <c r="G17" s="138">
        <f>'Sizing and Cost Calcs'!T33</f>
        <v>18124.074637691196</v>
      </c>
      <c r="H17" s="138">
        <f>'Sizing and Cost Calcs'!T27</f>
        <v>6055.5678670360103</v>
      </c>
      <c r="I17" s="138">
        <f>'Sizing and Cost Calcs'!T28</f>
        <v>2011.0540886426591</v>
      </c>
      <c r="J17" s="138">
        <f>'Sizing and Cost Calcs'!T31</f>
        <v>10057.452682012527</v>
      </c>
      <c r="K17" s="139">
        <f>'Sizing and Cost Calcs'!T32</f>
        <v>58241010519.999992</v>
      </c>
      <c r="L17" s="137" t="s">
        <v>25</v>
      </c>
      <c r="M17" s="138">
        <f>'Sizing and Cost Calcs'!T29</f>
        <v>450</v>
      </c>
    </row>
    <row r="18" spans="2:13" x14ac:dyDescent="0.25">
      <c r="D18" s="180" t="s">
        <v>369</v>
      </c>
      <c r="E18" s="86" t="s">
        <v>44</v>
      </c>
      <c r="F18" s="86" t="s">
        <v>359</v>
      </c>
      <c r="G18" s="2"/>
      <c r="H18" s="2"/>
      <c r="I18" s="2"/>
      <c r="J18" s="2"/>
      <c r="K18" s="2"/>
      <c r="L18" s="2"/>
      <c r="M18" s="2"/>
    </row>
    <row r="19" spans="2:13" x14ac:dyDescent="0.25">
      <c r="B19" s="23"/>
      <c r="D19" s="181"/>
      <c r="E19" s="125" t="s">
        <v>74</v>
      </c>
      <c r="F19" s="125" t="s">
        <v>361</v>
      </c>
      <c r="G19" s="122">
        <f>'Sizing and Cost Calcs'!Z15</f>
        <v>15210.324251434326</v>
      </c>
      <c r="H19" s="122">
        <f>'Sizing and Cost Calcs'!Z11</f>
        <v>7230</v>
      </c>
      <c r="I19" s="122">
        <f>'Sizing and Cost Calcs'!Z12</f>
        <v>6015.1523545706368</v>
      </c>
      <c r="J19" s="122">
        <f>'Sizing and Cost Calcs'!Z14</f>
        <v>1965.1718968636887</v>
      </c>
      <c r="K19" s="133">
        <f>'Sizing and Cost Calcs'!Z8</f>
        <v>95630000000</v>
      </c>
      <c r="L19" s="126" t="s">
        <v>89</v>
      </c>
      <c r="M19" s="122">
        <f>'Sizing and Cost Calcs'!Z13</f>
        <v>2800</v>
      </c>
    </row>
    <row r="20" spans="2:13" ht="15.75" thickBot="1" x14ac:dyDescent="0.3">
      <c r="B20" s="23"/>
      <c r="D20" s="182"/>
      <c r="E20" s="86" t="s">
        <v>3</v>
      </c>
      <c r="F20" s="86" t="s">
        <v>364</v>
      </c>
      <c r="G20" s="17">
        <f>'Sizing and Cost Calcs'!Z21</f>
        <v>23626.6693275166</v>
      </c>
      <c r="H20" s="17">
        <f>'Sizing and Cost Calcs'!Z16</f>
        <v>6015.1523545706368</v>
      </c>
      <c r="I20" s="17">
        <f>'Sizing and Cost Calcs'!Z17</f>
        <v>1997.6320969529086</v>
      </c>
      <c r="J20" s="17">
        <f>'Sizing and Cost Calcs'!Z20</f>
        <v>15613.884875993055</v>
      </c>
      <c r="K20" s="16">
        <f>'Sizing and Cost Calcs'!Z22</f>
        <v>100159805644.04433</v>
      </c>
      <c r="L20" s="2" t="s">
        <v>25</v>
      </c>
      <c r="M20" s="17">
        <f>'Sizing and Cost Calcs'!Z18</f>
        <v>450</v>
      </c>
    </row>
    <row r="21" spans="2:13" x14ac:dyDescent="0.25">
      <c r="D21" s="183" t="s">
        <v>370</v>
      </c>
      <c r="E21" s="134" t="s">
        <v>44</v>
      </c>
      <c r="F21" s="134" t="s">
        <v>36</v>
      </c>
      <c r="G21" s="135"/>
      <c r="H21" s="135"/>
      <c r="I21" s="135"/>
      <c r="J21" s="135"/>
      <c r="K21" s="135"/>
      <c r="L21" s="135"/>
      <c r="M21" s="135"/>
    </row>
    <row r="22" spans="2:13" x14ac:dyDescent="0.25">
      <c r="B22" s="23"/>
      <c r="D22" s="184"/>
      <c r="E22" s="86" t="s">
        <v>2</v>
      </c>
      <c r="F22" s="86" t="s">
        <v>362</v>
      </c>
      <c r="G22" s="32">
        <f>'Sizing and Cost Calcs'!AF7</f>
        <v>114570</v>
      </c>
      <c r="H22" s="32">
        <f>'Sizing and Cost Calcs'!AF5</f>
        <v>3900</v>
      </c>
      <c r="I22" s="32">
        <f>'Sizing and Cost Calcs'!AF3</f>
        <v>18000</v>
      </c>
      <c r="J22" s="32">
        <f>'Sizing and Cost Calcs'!AF6</f>
        <v>92670</v>
      </c>
      <c r="K22" s="16">
        <f>'Sizing and Cost Calcs'!AF10</f>
        <v>158118000000</v>
      </c>
      <c r="L22" s="2" t="s">
        <v>48</v>
      </c>
      <c r="M22" s="32">
        <f>'Sizing and Cost Calcs'!AF9</f>
        <v>348</v>
      </c>
    </row>
    <row r="23" spans="2:13" ht="15.75" thickBot="1" x14ac:dyDescent="0.3">
      <c r="B23" s="23"/>
      <c r="D23" s="185"/>
      <c r="E23" s="136" t="s">
        <v>3</v>
      </c>
      <c r="F23" s="136" t="s">
        <v>364</v>
      </c>
      <c r="G23" s="140">
        <f>'Sizing and Cost Calcs'!AF11</f>
        <v>18000</v>
      </c>
      <c r="H23" s="140">
        <f>'Sizing and Cost Calcs'!AF12</f>
        <v>6021</v>
      </c>
      <c r="I23" s="140">
        <f>'Sizing and Cost Calcs'!AF13</f>
        <v>1999.5741</v>
      </c>
      <c r="J23" s="140">
        <f>'Sizing and Cost Calcs'!AF16</f>
        <v>7664.1236147577401</v>
      </c>
      <c r="K23" s="139">
        <f>'Sizing and Cost Calcs'!AF17</f>
        <v>25064294062.5</v>
      </c>
      <c r="L23" s="137" t="s">
        <v>25</v>
      </c>
      <c r="M23" s="140">
        <f>'Sizing and Cost Calcs'!AF15</f>
        <v>450</v>
      </c>
    </row>
    <row r="24" spans="2:13" x14ac:dyDescent="0.25">
      <c r="B24" s="23"/>
    </row>
    <row r="25" spans="2:13" x14ac:dyDescent="0.25">
      <c r="B25" s="23"/>
    </row>
    <row r="28" spans="2:13" x14ac:dyDescent="0.25">
      <c r="L28" s="2"/>
    </row>
  </sheetData>
  <mergeCells count="6">
    <mergeCell ref="D4:M4"/>
    <mergeCell ref="D9:D12"/>
    <mergeCell ref="D13:D17"/>
    <mergeCell ref="D18:D20"/>
    <mergeCell ref="D21:D23"/>
    <mergeCell ref="D6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C4A-6611-45E2-BB7C-3CFB0014F712}">
  <sheetPr codeName="Sheet4"/>
  <dimension ref="C2:L10"/>
  <sheetViews>
    <sheetView zoomScale="25" zoomScaleNormal="25" workbookViewId="0">
      <selection activeCell="AG22" sqref="AG22"/>
    </sheetView>
  </sheetViews>
  <sheetFormatPr defaultRowHeight="15" x14ac:dyDescent="0.25"/>
  <cols>
    <col min="3" max="3" width="18.5703125" customWidth="1"/>
    <col min="4" max="12" width="15.7109375" customWidth="1"/>
  </cols>
  <sheetData>
    <row r="2" spans="3:12" ht="15.75" thickBot="1" x14ac:dyDescent="0.3"/>
    <row r="3" spans="3:12" ht="75" customHeight="1" thickBot="1" x14ac:dyDescent="0.3">
      <c r="C3" s="127" t="s">
        <v>349</v>
      </c>
      <c r="D3" s="127" t="s">
        <v>243</v>
      </c>
      <c r="E3" s="127" t="s">
        <v>244</v>
      </c>
      <c r="F3" s="127" t="s">
        <v>345</v>
      </c>
      <c r="G3" s="127" t="s">
        <v>346</v>
      </c>
      <c r="H3" s="127" t="s">
        <v>157</v>
      </c>
      <c r="I3" s="127" t="s">
        <v>347</v>
      </c>
      <c r="J3" s="127" t="s">
        <v>171</v>
      </c>
      <c r="K3" s="127" t="s">
        <v>172</v>
      </c>
      <c r="L3" s="127" t="s">
        <v>348</v>
      </c>
    </row>
    <row r="4" spans="3:12" ht="75" customHeight="1" thickBot="1" x14ac:dyDescent="0.3">
      <c r="C4" s="127" t="s">
        <v>243</v>
      </c>
      <c r="D4" s="96"/>
      <c r="E4" s="71">
        <v>1</v>
      </c>
      <c r="F4" s="66">
        <v>1</v>
      </c>
      <c r="G4" s="66">
        <v>1</v>
      </c>
      <c r="H4" s="66">
        <v>1</v>
      </c>
      <c r="I4" s="66">
        <v>1</v>
      </c>
      <c r="J4" s="66">
        <v>1</v>
      </c>
      <c r="K4" s="67">
        <f t="shared" ref="K4:K10" si="0">SUM(D4:J4)+1</f>
        <v>7</v>
      </c>
      <c r="L4" s="68">
        <f>K4/SUM(K4:K10)</f>
        <v>0.25</v>
      </c>
    </row>
    <row r="5" spans="3:12" ht="75" customHeight="1" thickBot="1" x14ac:dyDescent="0.3">
      <c r="C5" s="127" t="s">
        <v>244</v>
      </c>
      <c r="D5" s="71">
        <v>0</v>
      </c>
      <c r="E5" s="97"/>
      <c r="F5" s="71">
        <v>0</v>
      </c>
      <c r="G5" s="71">
        <v>0</v>
      </c>
      <c r="H5" s="71">
        <v>1</v>
      </c>
      <c r="I5" s="71">
        <v>1</v>
      </c>
      <c r="J5" s="71">
        <v>1</v>
      </c>
      <c r="K5" s="65">
        <f t="shared" si="0"/>
        <v>4</v>
      </c>
      <c r="L5" s="72">
        <f>K5/SUM(K4:K10)</f>
        <v>0.14285714285714285</v>
      </c>
    </row>
    <row r="6" spans="3:12" ht="75" customHeight="1" thickBot="1" x14ac:dyDescent="0.3">
      <c r="C6" s="127" t="s">
        <v>345</v>
      </c>
      <c r="D6" s="69">
        <v>0</v>
      </c>
      <c r="E6" s="71">
        <v>1</v>
      </c>
      <c r="F6" s="70"/>
      <c r="G6" s="71">
        <v>1</v>
      </c>
      <c r="H6" s="71">
        <v>0</v>
      </c>
      <c r="I6" s="71">
        <v>1</v>
      </c>
      <c r="J6" s="71">
        <v>1</v>
      </c>
      <c r="K6" s="65">
        <f t="shared" si="0"/>
        <v>5</v>
      </c>
      <c r="L6" s="72">
        <f>K6/SUM($K$4:$K$10)</f>
        <v>0.17857142857142858</v>
      </c>
    </row>
    <row r="7" spans="3:12" ht="75" customHeight="1" thickBot="1" x14ac:dyDescent="0.3">
      <c r="C7" s="127" t="s">
        <v>346</v>
      </c>
      <c r="D7" s="69">
        <v>0</v>
      </c>
      <c r="E7" s="71">
        <v>1</v>
      </c>
      <c r="F7" s="71">
        <v>0</v>
      </c>
      <c r="G7" s="70"/>
      <c r="H7" s="71">
        <v>0</v>
      </c>
      <c r="I7" s="71">
        <v>1</v>
      </c>
      <c r="J7" s="71">
        <v>1</v>
      </c>
      <c r="K7" s="65">
        <f t="shared" si="0"/>
        <v>4</v>
      </c>
      <c r="L7" s="72">
        <f>K7/SUM($K$4:$K$10)</f>
        <v>0.14285714285714285</v>
      </c>
    </row>
    <row r="8" spans="3:12" ht="75" customHeight="1" thickBot="1" x14ac:dyDescent="0.3">
      <c r="C8" s="127" t="s">
        <v>157</v>
      </c>
      <c r="D8" s="69">
        <v>0</v>
      </c>
      <c r="E8" s="71">
        <v>0</v>
      </c>
      <c r="F8" s="71">
        <v>1</v>
      </c>
      <c r="G8" s="71">
        <v>1</v>
      </c>
      <c r="H8" s="70"/>
      <c r="I8" s="71">
        <v>0</v>
      </c>
      <c r="J8" s="71">
        <v>0</v>
      </c>
      <c r="K8" s="65">
        <f t="shared" si="0"/>
        <v>3</v>
      </c>
      <c r="L8" s="72">
        <f>K8/SUM($K$4:$K$10)</f>
        <v>0.10714285714285714</v>
      </c>
    </row>
    <row r="9" spans="3:12" ht="75" customHeight="1" thickBot="1" x14ac:dyDescent="0.3">
      <c r="C9" s="127" t="s">
        <v>347</v>
      </c>
      <c r="D9" s="69">
        <v>0</v>
      </c>
      <c r="E9" s="71">
        <v>0</v>
      </c>
      <c r="F9" s="71">
        <v>0</v>
      </c>
      <c r="G9" s="71">
        <v>0</v>
      </c>
      <c r="H9" s="71">
        <v>1</v>
      </c>
      <c r="I9" s="70"/>
      <c r="J9" s="71">
        <v>1</v>
      </c>
      <c r="K9" s="65">
        <f t="shared" si="0"/>
        <v>3</v>
      </c>
      <c r="L9" s="72">
        <f>K9/SUM($K$4:$K$10)</f>
        <v>0.10714285714285714</v>
      </c>
    </row>
    <row r="10" spans="3:12" ht="75" customHeight="1" thickBot="1" x14ac:dyDescent="0.3">
      <c r="C10" s="127" t="s">
        <v>171</v>
      </c>
      <c r="D10" s="73">
        <v>0</v>
      </c>
      <c r="E10" s="74">
        <v>0</v>
      </c>
      <c r="F10" s="74">
        <v>0</v>
      </c>
      <c r="G10" s="74">
        <v>0</v>
      </c>
      <c r="H10" s="74">
        <v>1</v>
      </c>
      <c r="I10" s="74">
        <v>0</v>
      </c>
      <c r="J10" s="75"/>
      <c r="K10" s="76">
        <f t="shared" si="0"/>
        <v>2</v>
      </c>
      <c r="L10" s="77">
        <f>K10/SUM($K$4:$K$10)</f>
        <v>7.1428571428571425E-2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FC45-A3E7-4C9B-8682-7F494A0D9F79}">
  <sheetPr codeName="Sheet5"/>
  <dimension ref="C3:S46"/>
  <sheetViews>
    <sheetView tabSelected="1" topLeftCell="A12" zoomScale="55" zoomScaleNormal="55" workbookViewId="0">
      <selection activeCell="G63" sqref="G63"/>
    </sheetView>
  </sheetViews>
  <sheetFormatPr defaultRowHeight="15" x14ac:dyDescent="0.25"/>
  <cols>
    <col min="3" max="3" width="32" customWidth="1"/>
    <col min="4" max="4" width="18" bestFit="1" customWidth="1"/>
    <col min="5" max="5" width="19" bestFit="1" customWidth="1"/>
    <col min="6" max="6" width="26.5703125" bestFit="1" customWidth="1"/>
    <col min="7" max="7" width="28.42578125" bestFit="1" customWidth="1"/>
    <col min="8" max="8" width="20" bestFit="1" customWidth="1"/>
    <col min="9" max="9" width="27.28515625" customWidth="1"/>
    <col min="10" max="10" width="14.28515625" customWidth="1"/>
    <col min="11" max="11" width="31.28515625" customWidth="1"/>
    <col min="12" max="12" width="11.7109375" customWidth="1"/>
    <col min="13" max="13" width="10.140625" customWidth="1"/>
  </cols>
  <sheetData>
    <row r="3" spans="3:17" x14ac:dyDescent="0.25">
      <c r="C3" s="2" t="s">
        <v>115</v>
      </c>
      <c r="D3" s="2" t="s">
        <v>40</v>
      </c>
      <c r="E3" s="2" t="s">
        <v>46</v>
      </c>
      <c r="F3" s="2" t="s">
        <v>63</v>
      </c>
      <c r="G3" s="2" t="s">
        <v>65</v>
      </c>
      <c r="H3" s="2" t="s">
        <v>90</v>
      </c>
      <c r="K3" t="s">
        <v>115</v>
      </c>
      <c r="L3" t="s">
        <v>241</v>
      </c>
      <c r="M3" t="s">
        <v>40</v>
      </c>
      <c r="N3" t="s">
        <v>46</v>
      </c>
      <c r="O3" t="s">
        <v>63</v>
      </c>
      <c r="P3" t="s">
        <v>65</v>
      </c>
      <c r="Q3" t="s">
        <v>90</v>
      </c>
    </row>
    <row r="4" spans="3:17" ht="24" customHeight="1" x14ac:dyDescent="0.25">
      <c r="C4" s="78" t="s">
        <v>173</v>
      </c>
      <c r="D4" s="80">
        <f>'Sizing and Cost Calcs'!G77</f>
        <v>63020.276870871268</v>
      </c>
      <c r="E4" s="80">
        <f>'Sizing and Cost Calcs'!M82</f>
        <v>26341.123128016403</v>
      </c>
      <c r="F4" s="80">
        <f>'Sizing and Cost Calcs'!T77</f>
        <v>30451.353383285084</v>
      </c>
      <c r="G4" s="80">
        <f>'Sizing and Cost Calcs'!Z77</f>
        <v>21858.947330950006</v>
      </c>
      <c r="H4" s="80">
        <f>'Sizing and Cost Calcs'!AF77</f>
        <v>64449.438793705413</v>
      </c>
      <c r="K4" t="s">
        <v>173</v>
      </c>
      <c r="L4" s="29">
        <f>'Pairwise Comparison'!L4</f>
        <v>0.25</v>
      </c>
      <c r="M4" s="29">
        <f>(100-D4/MAX($D$4:$H$4)*100)*$L4</f>
        <v>0.55437330005646501</v>
      </c>
      <c r="N4" s="29">
        <f t="shared" ref="N4:Q4" si="0">(100-E4/MAX($D$4:$H$4)*100)*$L4</f>
        <v>14.782252715833941</v>
      </c>
      <c r="O4" s="29">
        <f t="shared" si="0"/>
        <v>13.187890401669728</v>
      </c>
      <c r="P4" s="29">
        <f t="shared" si="0"/>
        <v>16.520893067464186</v>
      </c>
      <c r="Q4" s="29">
        <f t="shared" si="0"/>
        <v>0</v>
      </c>
    </row>
    <row r="5" spans="3:17" ht="24" customHeight="1" x14ac:dyDescent="0.25">
      <c r="C5" s="1" t="s">
        <v>178</v>
      </c>
      <c r="D5" s="80">
        <f>'Sizing and Cost Calcs'!G78</f>
        <v>63020.276870871268</v>
      </c>
      <c r="E5" s="80">
        <f>'Sizing and Cost Calcs'!M83</f>
        <v>26341.123128016403</v>
      </c>
      <c r="F5" s="80">
        <f>'Sizing and Cost Calcs'!T78</f>
        <v>30451.353383285084</v>
      </c>
      <c r="G5" s="80">
        <f>'Sizing and Cost Calcs'!Z78</f>
        <v>21858.947330950006</v>
      </c>
      <c r="H5" s="80"/>
      <c r="K5" t="s">
        <v>178</v>
      </c>
      <c r="L5" s="29">
        <f>'Pairwise Comparison'!L5</f>
        <v>0.14285714285714285</v>
      </c>
      <c r="M5" s="29">
        <f>(100-D5/MAX($D$5:$H$5)*100)*$L5</f>
        <v>0</v>
      </c>
      <c r="N5" s="29">
        <f>(100-E5/MAX($D$5:$H$5)*100)*$L5</f>
        <v>8.3145923285272954</v>
      </c>
      <c r="O5" s="29">
        <f>(100-F5/MAX($D$5:$H$5)*100)*$L5</f>
        <v>7.3828672078081432</v>
      </c>
      <c r="P5" s="29">
        <f>(100-G5/MAX($D$5:$H$5)*100)*$L5</f>
        <v>9.3306317049717062</v>
      </c>
      <c r="Q5" s="29" t="s">
        <v>240</v>
      </c>
    </row>
    <row r="6" spans="3:17" ht="24" customHeight="1" x14ac:dyDescent="0.25">
      <c r="C6" s="78" t="s">
        <v>174</v>
      </c>
      <c r="D6" s="81">
        <f>'Sizing and Cost Calcs'!G41</f>
        <v>2000</v>
      </c>
      <c r="E6" s="81">
        <f>'Sizing and Cost Calcs'!M41</f>
        <v>1962.710282723996</v>
      </c>
      <c r="F6" s="81">
        <f>'Sizing and Cost Calcs'!T42</f>
        <v>2011.0540886426591</v>
      </c>
      <c r="G6" s="81">
        <f>'Sizing and Cost Calcs'!Z41</f>
        <v>1997.6320969529086</v>
      </c>
      <c r="H6" s="81">
        <f>'Sizing and Cost Calcs'!AF41</f>
        <v>1999.5741</v>
      </c>
      <c r="K6" t="s">
        <v>174</v>
      </c>
      <c r="L6" s="29">
        <f>'Pairwise Comparison'!L6</f>
        <v>0.17857142857142858</v>
      </c>
      <c r="M6" s="29">
        <f t="shared" ref="M6:Q7" si="1">(D6/MAX($D6:$H6)*100)*$L6</f>
        <v>17.758988142576868</v>
      </c>
      <c r="N6" s="29">
        <f t="shared" si="1"/>
        <v>17.427874319104571</v>
      </c>
      <c r="O6" s="29">
        <f t="shared" si="1"/>
        <v>17.857142857142858</v>
      </c>
      <c r="P6" s="29">
        <f t="shared" si="1"/>
        <v>17.737962361508835</v>
      </c>
      <c r="Q6" s="29">
        <f t="shared" si="1"/>
        <v>17.755206366051908</v>
      </c>
    </row>
    <row r="7" spans="3:17" ht="24" customHeight="1" x14ac:dyDescent="0.25">
      <c r="C7" s="78" t="s">
        <v>175</v>
      </c>
      <c r="D7" s="81">
        <f>'Sizing and Cost Calcs'!G41</f>
        <v>2000</v>
      </c>
      <c r="E7" s="81">
        <f>'Sizing and Cost Calcs'!M41</f>
        <v>1962.710282723996</v>
      </c>
      <c r="F7" s="81">
        <f>'Sizing and Cost Calcs'!T42</f>
        <v>2011.0540886426591</v>
      </c>
      <c r="G7" s="81">
        <f>'Sizing and Cost Calcs'!Z41</f>
        <v>1997.6320969529086</v>
      </c>
      <c r="H7" s="81">
        <v>0</v>
      </c>
      <c r="K7" t="s">
        <v>175</v>
      </c>
      <c r="L7" s="29">
        <f>'Pairwise Comparison'!L7</f>
        <v>0.14285714285714285</v>
      </c>
      <c r="M7" s="29">
        <f t="shared" si="1"/>
        <v>14.207190514061494</v>
      </c>
      <c r="N7" s="29">
        <f t="shared" si="1"/>
        <v>13.942299455283655</v>
      </c>
      <c r="O7" s="29">
        <f t="shared" si="1"/>
        <v>14.285714285714285</v>
      </c>
      <c r="P7" s="29">
        <f t="shared" si="1"/>
        <v>14.190369889207068</v>
      </c>
      <c r="Q7" s="29">
        <f t="shared" si="1"/>
        <v>0</v>
      </c>
    </row>
    <row r="8" spans="3:17" ht="24" customHeight="1" x14ac:dyDescent="0.25">
      <c r="C8" s="78" t="s">
        <v>176</v>
      </c>
      <c r="D8" s="79">
        <f>'Sizing and Cost Calcs'!G55</f>
        <v>5.1309993631191819</v>
      </c>
      <c r="E8" s="79">
        <f>'Sizing and Cost Calcs'!M55</f>
        <v>5.9014951699904996</v>
      </c>
      <c r="F8" s="79">
        <f>'Sizing and Cost Calcs'!T57</f>
        <v>6.1945277533397203</v>
      </c>
      <c r="G8" s="79">
        <f>'Sizing and Cost Calcs'!Z55</f>
        <v>270.67500000000001</v>
      </c>
      <c r="H8" s="79">
        <f>'Sizing and Cost Calcs'!AF55</f>
        <v>3.3066</v>
      </c>
      <c r="K8" t="s">
        <v>176</v>
      </c>
      <c r="L8" s="29">
        <f>'Pairwise Comparison'!L8</f>
        <v>0.10714285714285714</v>
      </c>
      <c r="M8" s="29">
        <f>(100-D8/MAX($D8:$H8)*100)*$L8</f>
        <v>10.51118238676645</v>
      </c>
      <c r="N8" s="29">
        <f>(100-E8/MAX($D8:$H8)*100)*$L8</f>
        <v>10.480683403792483</v>
      </c>
      <c r="O8" s="29">
        <f t="shared" ref="O8" si="2">(100-F8/MAX($D8:$H8)*100)*$L8</f>
        <v>10.469084124872749</v>
      </c>
      <c r="P8" s="29">
        <f t="shared" ref="P8" si="3">(100-G8/MAX($D8:$H8)*100)*$L8</f>
        <v>0</v>
      </c>
      <c r="Q8" s="29">
        <f t="shared" ref="Q8" si="4">(100-H8/MAX($D8:$H8)*100)*$L8</f>
        <v>10.583398646241539</v>
      </c>
    </row>
    <row r="9" spans="3:17" ht="15.75" x14ac:dyDescent="0.25">
      <c r="C9" s="78" t="s">
        <v>177</v>
      </c>
      <c r="D9" s="3">
        <f>'Sizing and Cost Calcs'!G49</f>
        <v>3</v>
      </c>
      <c r="E9" s="3">
        <f>'Sizing and Cost Calcs'!M49</f>
        <v>8</v>
      </c>
      <c r="F9" s="3">
        <f>'Sizing and Cost Calcs'!T50</f>
        <v>11</v>
      </c>
      <c r="G9" s="3">
        <f>'Sizing and Cost Calcs'!Z49</f>
        <v>8</v>
      </c>
      <c r="H9" s="3">
        <f>'Sizing and Cost Calcs'!AF49</f>
        <v>1</v>
      </c>
      <c r="K9" t="s">
        <v>177</v>
      </c>
      <c r="L9" s="29">
        <f>'Pairwise Comparison'!L9</f>
        <v>0.10714285714285714</v>
      </c>
      <c r="M9" s="29">
        <f t="shared" ref="M9" si="5">(100-D9/MAX($D9:$H9)*100)*$L9</f>
        <v>7.7922077922077921</v>
      </c>
      <c r="N9" s="29">
        <f t="shared" ref="N9" si="6">(100-E9/MAX($D9:$H9)*100)*$L9</f>
        <v>2.9220779220779214</v>
      </c>
      <c r="O9" s="29">
        <f>(100-F9/MAX($D9:$H9)*100)*$L9</f>
        <v>0</v>
      </c>
      <c r="P9" s="29">
        <f>(100-G9/MAX($D9:$H9)*100)*$L9</f>
        <v>2.9220779220779214</v>
      </c>
      <c r="Q9" s="29">
        <f>(100-H9/MAX($D9:$H9)*100)*$L9</f>
        <v>9.7402597402597397</v>
      </c>
    </row>
    <row r="10" spans="3:17" x14ac:dyDescent="0.25">
      <c r="L10" s="2"/>
      <c r="M10" s="2"/>
      <c r="N10" s="2"/>
      <c r="O10" s="2"/>
      <c r="P10" s="2"/>
      <c r="Q10" s="2"/>
    </row>
    <row r="11" spans="3:17" x14ac:dyDescent="0.25">
      <c r="K11" t="s">
        <v>242</v>
      </c>
      <c r="L11" s="29">
        <f>SUM(L4:L9)</f>
        <v>0.92857142857142838</v>
      </c>
      <c r="M11" s="29">
        <f t="shared" ref="M11:Q11" si="7">SUM(M4:M9)</f>
        <v>50.823942135669071</v>
      </c>
      <c r="N11" s="29">
        <f t="shared" si="7"/>
        <v>67.869780144619867</v>
      </c>
      <c r="O11" s="29">
        <f t="shared" si="7"/>
        <v>63.182698877207763</v>
      </c>
      <c r="P11" s="29">
        <f t="shared" si="7"/>
        <v>60.701934945229723</v>
      </c>
      <c r="Q11" s="29">
        <f t="shared" si="7"/>
        <v>38.078864752553187</v>
      </c>
    </row>
    <row r="15" spans="3:17" x14ac:dyDescent="0.25">
      <c r="C15" s="2" t="s">
        <v>115</v>
      </c>
      <c r="D15" s="2" t="s">
        <v>40</v>
      </c>
      <c r="E15" s="2" t="s">
        <v>46</v>
      </c>
      <c r="F15" s="2" t="s">
        <v>63</v>
      </c>
      <c r="G15" s="2" t="s">
        <v>65</v>
      </c>
      <c r="H15" s="2" t="s">
        <v>90</v>
      </c>
      <c r="K15" t="s">
        <v>115</v>
      </c>
      <c r="L15" t="s">
        <v>241</v>
      </c>
      <c r="M15" t="s">
        <v>40</v>
      </c>
      <c r="N15" t="s">
        <v>46</v>
      </c>
      <c r="O15" t="s">
        <v>63</v>
      </c>
      <c r="P15" t="s">
        <v>65</v>
      </c>
      <c r="Q15" t="s">
        <v>90</v>
      </c>
    </row>
    <row r="16" spans="3:17" ht="15.75" x14ac:dyDescent="0.25">
      <c r="C16" s="78" t="s">
        <v>173</v>
      </c>
      <c r="D16" s="80">
        <v>62890.577433628772</v>
      </c>
      <c r="E16" s="80">
        <v>38054.173012329287</v>
      </c>
      <c r="F16" s="80">
        <v>39675.257878597084</v>
      </c>
      <c r="G16" s="80">
        <v>10126.495709609455</v>
      </c>
      <c r="H16" s="80">
        <v>64449.438793705413</v>
      </c>
      <c r="K16" t="s">
        <v>173</v>
      </c>
      <c r="L16" s="29">
        <v>0.25</v>
      </c>
      <c r="M16" s="29">
        <v>0.55437330005646501</v>
      </c>
      <c r="N16" s="29">
        <v>14.782252715833941</v>
      </c>
      <c r="O16" s="29">
        <v>13.187890401669728</v>
      </c>
      <c r="P16" s="29">
        <v>16.520893067464186</v>
      </c>
      <c r="Q16" s="29">
        <v>0</v>
      </c>
    </row>
    <row r="17" spans="3:19" x14ac:dyDescent="0.25">
      <c r="C17" s="1" t="s">
        <v>178</v>
      </c>
      <c r="D17" s="80">
        <v>62890.577433628772</v>
      </c>
      <c r="E17" s="80">
        <v>38054.173012329287</v>
      </c>
      <c r="F17" s="80">
        <v>39675.257878597084</v>
      </c>
      <c r="G17" s="80">
        <v>10126.495709609455</v>
      </c>
      <c r="H17" s="80"/>
      <c r="K17" t="s">
        <v>178</v>
      </c>
      <c r="L17" s="29">
        <v>0.14285714285714285</v>
      </c>
      <c r="M17" s="29">
        <v>0</v>
      </c>
      <c r="N17" s="29">
        <v>8.3145923285272954</v>
      </c>
      <c r="O17" s="29">
        <v>7.3828672078081432</v>
      </c>
      <c r="P17" s="29">
        <v>9.3306317049717062</v>
      </c>
      <c r="Q17" s="29" t="s">
        <v>240</v>
      </c>
    </row>
    <row r="18" spans="3:19" ht="15.75" x14ac:dyDescent="0.25">
      <c r="C18" s="78" t="s">
        <v>174</v>
      </c>
      <c r="D18" s="81">
        <v>2000</v>
      </c>
      <c r="E18" s="81">
        <v>1962.710282723996</v>
      </c>
      <c r="F18" s="81">
        <v>1005.5270443213295</v>
      </c>
      <c r="G18" s="81">
        <v>1997.6320969529086</v>
      </c>
      <c r="H18" s="81">
        <v>1999.5741</v>
      </c>
      <c r="K18" t="s">
        <v>174</v>
      </c>
      <c r="L18" s="29">
        <v>0.17857142857142858</v>
      </c>
      <c r="M18" s="29">
        <v>17.758988142576868</v>
      </c>
      <c r="N18" s="29">
        <v>17.427874319104571</v>
      </c>
      <c r="O18" s="29">
        <v>17.857142857142858</v>
      </c>
      <c r="P18" s="29">
        <v>17.737962361508835</v>
      </c>
      <c r="Q18" s="29">
        <v>17.755206366051908</v>
      </c>
    </row>
    <row r="19" spans="3:19" ht="15.75" x14ac:dyDescent="0.25">
      <c r="C19" s="78" t="s">
        <v>175</v>
      </c>
      <c r="D19" s="81">
        <v>2000</v>
      </c>
      <c r="E19" s="81">
        <v>1962.710282723996</v>
      </c>
      <c r="F19" s="81">
        <v>1005.5270443213295</v>
      </c>
      <c r="G19" s="81">
        <v>1997.6320969529086</v>
      </c>
      <c r="H19" s="81">
        <v>0</v>
      </c>
      <c r="K19" t="s">
        <v>175</v>
      </c>
      <c r="L19" s="29">
        <v>0.14285714285714285</v>
      </c>
      <c r="M19" s="29">
        <v>14.207190514061494</v>
      </c>
      <c r="N19" s="29">
        <v>13.942299455283655</v>
      </c>
      <c r="O19" s="29">
        <v>14.285714285714285</v>
      </c>
      <c r="P19" s="29">
        <v>14.190369889207068</v>
      </c>
      <c r="Q19" s="29">
        <v>0</v>
      </c>
    </row>
    <row r="20" spans="3:19" ht="15.75" x14ac:dyDescent="0.25">
      <c r="C20" s="78" t="s">
        <v>176</v>
      </c>
      <c r="D20" s="79">
        <v>5.1309993631191819</v>
      </c>
      <c r="E20" s="79">
        <v>5.9014951699904996</v>
      </c>
      <c r="F20" s="79">
        <v>6.1945277533397203</v>
      </c>
      <c r="G20" s="79">
        <v>270.67500000000001</v>
      </c>
      <c r="H20" s="79">
        <v>3.3066</v>
      </c>
      <c r="K20" t="s">
        <v>176</v>
      </c>
      <c r="L20" s="29">
        <v>0.10714285714285714</v>
      </c>
      <c r="M20" s="29">
        <v>10.51118238676645</v>
      </c>
      <c r="N20" s="29">
        <v>10.480683403792483</v>
      </c>
      <c r="O20" s="29">
        <v>10.469084124872749</v>
      </c>
      <c r="P20" s="29">
        <v>0</v>
      </c>
      <c r="Q20" s="29">
        <v>10.583398646241539</v>
      </c>
    </row>
    <row r="21" spans="3:19" ht="15.75" x14ac:dyDescent="0.25">
      <c r="C21" s="78" t="s">
        <v>177</v>
      </c>
      <c r="D21" s="3">
        <v>3</v>
      </c>
      <c r="E21" s="3">
        <v>8</v>
      </c>
      <c r="F21" s="3">
        <v>11</v>
      </c>
      <c r="G21" s="3">
        <v>8</v>
      </c>
      <c r="H21" s="3">
        <v>1</v>
      </c>
      <c r="K21" t="s">
        <v>177</v>
      </c>
      <c r="L21" s="29">
        <v>0.10714285714285714</v>
      </c>
      <c r="M21" s="29">
        <v>7.7922077922077921</v>
      </c>
      <c r="N21" s="29">
        <v>2.9220779220779214</v>
      </c>
      <c r="O21" s="29">
        <v>0</v>
      </c>
      <c r="P21" s="29">
        <v>2.9220779220779214</v>
      </c>
      <c r="Q21" s="29">
        <v>9.7402597402597397</v>
      </c>
    </row>
    <row r="22" spans="3:19" x14ac:dyDescent="0.25">
      <c r="L22" s="2"/>
      <c r="M22" s="2"/>
      <c r="N22" s="2"/>
      <c r="O22" s="2"/>
      <c r="P22" s="2"/>
      <c r="Q22" s="2"/>
    </row>
    <row r="23" spans="3:19" x14ac:dyDescent="0.25">
      <c r="K23" t="s">
        <v>242</v>
      </c>
      <c r="L23" s="29">
        <v>0.92857142857142838</v>
      </c>
      <c r="M23" s="29">
        <v>50.823942135669071</v>
      </c>
      <c r="N23" s="29">
        <v>67.869780144619867</v>
      </c>
      <c r="O23" s="29">
        <v>63.182698877207763</v>
      </c>
      <c r="P23" s="29">
        <v>60.701934945229723</v>
      </c>
      <c r="Q23" s="29">
        <v>38.078864752553187</v>
      </c>
    </row>
    <row r="26" spans="3:19" x14ac:dyDescent="0.25">
      <c r="K26" t="s">
        <v>115</v>
      </c>
      <c r="L26" t="s">
        <v>173</v>
      </c>
      <c r="M26" t="s">
        <v>178</v>
      </c>
      <c r="N26" t="s">
        <v>174</v>
      </c>
      <c r="O26" t="s">
        <v>175</v>
      </c>
      <c r="P26" t="s">
        <v>176</v>
      </c>
      <c r="Q26" t="s">
        <v>177</v>
      </c>
      <c r="S26" t="s">
        <v>242</v>
      </c>
    </row>
    <row r="27" spans="3:19" ht="15.75" thickBot="1" x14ac:dyDescent="0.3">
      <c r="K27" t="s">
        <v>241</v>
      </c>
      <c r="L27" s="29">
        <v>0.25</v>
      </c>
      <c r="M27" s="29">
        <v>0.14285714285714285</v>
      </c>
      <c r="N27" s="29">
        <v>0.17857142857142858</v>
      </c>
      <c r="O27" s="29">
        <v>0.14285714285714285</v>
      </c>
      <c r="P27" s="29">
        <v>0.10714285714285714</v>
      </c>
      <c r="Q27" s="29">
        <v>0.10714285714285714</v>
      </c>
      <c r="R27" s="2"/>
      <c r="S27" s="29">
        <v>0.92857142857142838</v>
      </c>
    </row>
    <row r="28" spans="3:19" ht="16.5" thickBot="1" x14ac:dyDescent="0.3">
      <c r="C28" s="186" t="s">
        <v>382</v>
      </c>
      <c r="D28" s="187"/>
      <c r="E28" s="187"/>
      <c r="F28" s="187"/>
      <c r="G28" s="187"/>
      <c r="H28" s="187"/>
      <c r="I28" s="188"/>
      <c r="K28" t="s">
        <v>40</v>
      </c>
      <c r="L28" s="29">
        <v>0.55437330005646501</v>
      </c>
      <c r="M28" s="29">
        <v>0</v>
      </c>
      <c r="N28" s="29">
        <v>17.758988142576868</v>
      </c>
      <c r="O28" s="29">
        <v>14.207190514061494</v>
      </c>
      <c r="P28" s="29">
        <v>10.51118238676645</v>
      </c>
      <c r="Q28" s="29">
        <v>7.7922077922077921</v>
      </c>
      <c r="R28" s="2"/>
      <c r="S28" s="29">
        <v>50.823942135669071</v>
      </c>
    </row>
    <row r="29" spans="3:19" ht="32.25" thickBot="1" x14ac:dyDescent="0.3">
      <c r="C29" s="167" t="s">
        <v>373</v>
      </c>
      <c r="D29" s="168" t="s">
        <v>374</v>
      </c>
      <c r="E29" s="168" t="s">
        <v>379</v>
      </c>
      <c r="F29" s="168" t="s">
        <v>375</v>
      </c>
      <c r="G29" s="168" t="s">
        <v>376</v>
      </c>
      <c r="H29" s="168" t="s">
        <v>377</v>
      </c>
      <c r="I29" s="168" t="s">
        <v>378</v>
      </c>
      <c r="K29" t="s">
        <v>46</v>
      </c>
      <c r="L29" s="29">
        <v>14.782252715833941</v>
      </c>
      <c r="M29" s="29">
        <v>8.3145923285272954</v>
      </c>
      <c r="N29" s="29">
        <v>17.427874319104571</v>
      </c>
      <c r="O29" s="29">
        <v>13.942299455283655</v>
      </c>
      <c r="P29" s="29">
        <v>10.480683403792483</v>
      </c>
      <c r="Q29" s="29">
        <v>2.9220779220779214</v>
      </c>
      <c r="R29" s="2"/>
      <c r="S29" s="29">
        <v>67.869780144619867</v>
      </c>
    </row>
    <row r="30" spans="3:19" ht="15.75" x14ac:dyDescent="0.25">
      <c r="C30" s="169" t="s">
        <v>40</v>
      </c>
      <c r="D30" s="170">
        <v>63020.276870871268</v>
      </c>
      <c r="E30" s="170">
        <v>63020.276870871268</v>
      </c>
      <c r="F30" s="170">
        <v>2000</v>
      </c>
      <c r="G30" s="170">
        <v>2000</v>
      </c>
      <c r="H30" s="170">
        <v>5.1309993631191819</v>
      </c>
      <c r="I30" s="169">
        <v>3</v>
      </c>
      <c r="K30" t="s">
        <v>63</v>
      </c>
      <c r="L30" s="29">
        <v>13.187890401669728</v>
      </c>
      <c r="M30" s="29">
        <v>7.3828672078081432</v>
      </c>
      <c r="N30" s="29">
        <v>17.857142857142858</v>
      </c>
      <c r="O30" s="29">
        <v>14.285714285714285</v>
      </c>
      <c r="P30" s="29">
        <v>10.469084124872749</v>
      </c>
      <c r="Q30" s="29">
        <v>0</v>
      </c>
      <c r="R30" s="2"/>
      <c r="S30" s="29">
        <v>63.182698877207763</v>
      </c>
    </row>
    <row r="31" spans="3:19" ht="15.75" x14ac:dyDescent="0.25">
      <c r="C31" s="171" t="s">
        <v>46</v>
      </c>
      <c r="D31" s="172">
        <v>26341.123128016403</v>
      </c>
      <c r="E31" s="172">
        <v>26341.123128016403</v>
      </c>
      <c r="F31" s="172">
        <v>1962.710282723996</v>
      </c>
      <c r="G31" s="172">
        <v>1962.710282723996</v>
      </c>
      <c r="H31" s="172">
        <v>5.9014951699904996</v>
      </c>
      <c r="I31" s="171">
        <v>8</v>
      </c>
      <c r="K31" t="s">
        <v>65</v>
      </c>
      <c r="L31" s="29">
        <v>16.520893067464186</v>
      </c>
      <c r="M31" s="29">
        <v>9.3306317049717062</v>
      </c>
      <c r="N31" s="29">
        <v>17.737962361508835</v>
      </c>
      <c r="O31" s="29">
        <v>14.190369889207068</v>
      </c>
      <c r="P31" s="29">
        <v>0</v>
      </c>
      <c r="Q31" s="29">
        <v>2.9220779220779214</v>
      </c>
      <c r="R31" s="2"/>
      <c r="S31" s="29">
        <v>60.701934945229723</v>
      </c>
    </row>
    <row r="32" spans="3:19" ht="15.75" x14ac:dyDescent="0.25">
      <c r="C32" s="169" t="s">
        <v>63</v>
      </c>
      <c r="D32" s="170">
        <v>39804.95731583958</v>
      </c>
      <c r="E32" s="170">
        <v>39804.95731583958</v>
      </c>
      <c r="F32" s="170">
        <v>1005.5270443213295</v>
      </c>
      <c r="G32" s="170">
        <v>1005.5270443213295</v>
      </c>
      <c r="H32" s="170">
        <v>6.1945277533397203</v>
      </c>
      <c r="I32" s="169">
        <v>11</v>
      </c>
      <c r="K32" t="s">
        <v>90</v>
      </c>
      <c r="L32" s="29">
        <v>0</v>
      </c>
      <c r="M32" s="29" t="s">
        <v>240</v>
      </c>
      <c r="N32" s="29">
        <v>17.755206366051908</v>
      </c>
      <c r="O32" s="29">
        <v>0</v>
      </c>
      <c r="P32" s="29">
        <v>10.583398646241539</v>
      </c>
      <c r="Q32" s="29">
        <v>9.7402597402597397</v>
      </c>
      <c r="R32" s="2"/>
      <c r="S32" s="29">
        <v>38.078864752553187</v>
      </c>
    </row>
    <row r="33" spans="3:10" ht="15.75" x14ac:dyDescent="0.25">
      <c r="C33" s="171" t="s">
        <v>65</v>
      </c>
      <c r="D33" s="172">
        <v>10512.349220740251</v>
      </c>
      <c r="E33" s="172">
        <v>10512.349220740251</v>
      </c>
      <c r="F33" s="172">
        <v>1997.6320969529086</v>
      </c>
      <c r="G33" s="172">
        <v>1997.6320969529086</v>
      </c>
      <c r="H33" s="172">
        <v>270.67500000000001</v>
      </c>
      <c r="I33" s="171">
        <v>8</v>
      </c>
    </row>
    <row r="34" spans="3:10" ht="15.75" x14ac:dyDescent="0.25">
      <c r="C34" s="173" t="s">
        <v>90</v>
      </c>
      <c r="D34" s="174">
        <v>64449.438793705413</v>
      </c>
      <c r="E34" s="174" t="s">
        <v>240</v>
      </c>
      <c r="F34" s="174">
        <v>1999.5741</v>
      </c>
      <c r="G34" s="174" t="s">
        <v>240</v>
      </c>
      <c r="H34" s="174">
        <v>3.3066</v>
      </c>
      <c r="I34" s="173">
        <v>1</v>
      </c>
    </row>
    <row r="38" spans="3:10" ht="15.75" thickBot="1" x14ac:dyDescent="0.3">
      <c r="C38" s="175" t="s">
        <v>380</v>
      </c>
      <c r="D38" s="175"/>
      <c r="E38" s="175"/>
      <c r="F38" s="175"/>
      <c r="G38" s="175"/>
      <c r="H38" s="175"/>
      <c r="I38" s="175"/>
      <c r="J38" s="175"/>
    </row>
    <row r="39" spans="3:10" ht="30.75" thickBot="1" x14ac:dyDescent="0.3">
      <c r="C39" s="141" t="s">
        <v>373</v>
      </c>
      <c r="D39" s="142" t="s">
        <v>374</v>
      </c>
      <c r="E39" s="142" t="s">
        <v>379</v>
      </c>
      <c r="F39" s="142" t="s">
        <v>375</v>
      </c>
      <c r="G39" s="142" t="s">
        <v>376</v>
      </c>
      <c r="H39" s="142" t="s">
        <v>377</v>
      </c>
      <c r="I39" s="142" t="s">
        <v>378</v>
      </c>
      <c r="J39" s="143" t="s">
        <v>242</v>
      </c>
    </row>
    <row r="40" spans="3:10" ht="15.75" thickBot="1" x14ac:dyDescent="0.3">
      <c r="C40" s="144" t="s">
        <v>241</v>
      </c>
      <c r="D40" s="129">
        <v>0.25</v>
      </c>
      <c r="E40" s="129">
        <v>0.14285714285714285</v>
      </c>
      <c r="F40" s="129">
        <v>0.17857142857142858</v>
      </c>
      <c r="G40" s="129">
        <v>0.14285714285714285</v>
      </c>
      <c r="H40" s="129">
        <v>0.10714285714285714</v>
      </c>
      <c r="I40" s="129">
        <v>0.10714285714285714</v>
      </c>
      <c r="J40" s="129">
        <f>SUM(D40:I40)</f>
        <v>0.92857142857142838</v>
      </c>
    </row>
    <row r="41" spans="3:10" x14ac:dyDescent="0.25">
      <c r="C41" s="2" t="s">
        <v>383</v>
      </c>
      <c r="D41" s="29">
        <v>0.55437330005646501</v>
      </c>
      <c r="E41" s="29">
        <v>0</v>
      </c>
      <c r="F41" s="29">
        <v>17.758988142576868</v>
      </c>
      <c r="G41" s="29">
        <v>14.207190514061494</v>
      </c>
      <c r="H41" s="29">
        <v>10.51118238676645</v>
      </c>
      <c r="I41" s="29">
        <v>7.7922077922077921</v>
      </c>
      <c r="J41" s="29">
        <f t="shared" ref="J41:J45" si="8">SUM(D41:I41)</f>
        <v>50.823942135669071</v>
      </c>
    </row>
    <row r="42" spans="3:10" x14ac:dyDescent="0.25">
      <c r="C42" s="121" t="s">
        <v>384</v>
      </c>
      <c r="D42" s="145">
        <v>14.782252715833941</v>
      </c>
      <c r="E42" s="145">
        <v>8.3145923285272954</v>
      </c>
      <c r="F42" s="145">
        <v>17.427874319104571</v>
      </c>
      <c r="G42" s="145">
        <v>13.942299455283655</v>
      </c>
      <c r="H42" s="145">
        <v>10.480683403792483</v>
      </c>
      <c r="I42" s="145">
        <v>2.9220779220779214</v>
      </c>
      <c r="J42" s="145">
        <f t="shared" si="8"/>
        <v>67.869780144619867</v>
      </c>
    </row>
    <row r="43" spans="3:10" x14ac:dyDescent="0.25">
      <c r="C43" s="2" t="s">
        <v>385</v>
      </c>
      <c r="D43" s="29">
        <v>13.187890401669728</v>
      </c>
      <c r="E43" s="29">
        <v>7.3828672078081432</v>
      </c>
      <c r="F43" s="29">
        <v>17.857142857142858</v>
      </c>
      <c r="G43" s="29">
        <v>14.285714285714285</v>
      </c>
      <c r="H43" s="29">
        <v>10.469084124872749</v>
      </c>
      <c r="I43" s="29">
        <v>0</v>
      </c>
      <c r="J43" s="29">
        <f t="shared" si="8"/>
        <v>63.182698877207763</v>
      </c>
    </row>
    <row r="44" spans="3:10" x14ac:dyDescent="0.25">
      <c r="C44" s="121" t="s">
        <v>386</v>
      </c>
      <c r="D44" s="145">
        <v>16.520893067464186</v>
      </c>
      <c r="E44" s="145">
        <v>9.3306317049717062</v>
      </c>
      <c r="F44" s="145">
        <v>17.737962361508835</v>
      </c>
      <c r="G44" s="145">
        <v>14.190369889207068</v>
      </c>
      <c r="H44" s="145">
        <v>0</v>
      </c>
      <c r="I44" s="145">
        <v>2.9220779220779214</v>
      </c>
      <c r="J44" s="145">
        <f t="shared" si="8"/>
        <v>60.701934945229723</v>
      </c>
    </row>
    <row r="45" spans="3:10" x14ac:dyDescent="0.25">
      <c r="C45" s="2" t="s">
        <v>387</v>
      </c>
      <c r="D45" s="29">
        <v>0</v>
      </c>
      <c r="E45" s="29" t="s">
        <v>240</v>
      </c>
      <c r="F45" s="29">
        <v>17.755206366051908</v>
      </c>
      <c r="G45" s="29">
        <v>0</v>
      </c>
      <c r="H45" s="29">
        <v>10.583398646241539</v>
      </c>
      <c r="I45" s="29">
        <v>9.7402597402597397</v>
      </c>
      <c r="J45" s="29">
        <f t="shared" si="8"/>
        <v>38.078864752553187</v>
      </c>
    </row>
    <row r="46" spans="3:10" x14ac:dyDescent="0.25">
      <c r="D46" s="62"/>
      <c r="E46" s="62"/>
      <c r="F46" s="62"/>
      <c r="G46" s="62"/>
      <c r="H46" s="62"/>
      <c r="I46" s="62"/>
    </row>
  </sheetData>
  <mergeCells count="2">
    <mergeCell ref="C28:I28"/>
    <mergeCell ref="C38:J3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9A97-0E11-4BFC-AED8-3A471914D50F}">
  <sheetPr codeName="Sheet6"/>
  <dimension ref="C1:L13"/>
  <sheetViews>
    <sheetView workbookViewId="0">
      <selection activeCell="E19" sqref="E19"/>
    </sheetView>
  </sheetViews>
  <sheetFormatPr defaultRowHeight="15" x14ac:dyDescent="0.25"/>
  <cols>
    <col min="3" max="3" width="16.42578125" customWidth="1"/>
    <col min="4" max="4" width="17.85546875" bestFit="1" customWidth="1"/>
    <col min="5" max="5" width="14.140625" bestFit="1" customWidth="1"/>
    <col min="6" max="6" width="14.140625" customWidth="1"/>
    <col min="7" max="7" width="17" customWidth="1"/>
    <col min="8" max="8" width="27.5703125" customWidth="1"/>
    <col min="9" max="9" width="11.85546875" customWidth="1"/>
  </cols>
  <sheetData>
    <row r="1" spans="3:12" x14ac:dyDescent="0.25">
      <c r="K1" t="s">
        <v>229</v>
      </c>
      <c r="L1" t="s">
        <v>230</v>
      </c>
    </row>
    <row r="2" spans="3:12" x14ac:dyDescent="0.25">
      <c r="K2" s="2" t="s">
        <v>225</v>
      </c>
      <c r="L2" s="2">
        <v>0.16</v>
      </c>
    </row>
    <row r="3" spans="3:12" x14ac:dyDescent="0.25">
      <c r="K3" s="2" t="s">
        <v>226</v>
      </c>
      <c r="L3" s="2">
        <v>3.66</v>
      </c>
    </row>
    <row r="4" spans="3:12" x14ac:dyDescent="0.25">
      <c r="C4" s="175" t="s">
        <v>219</v>
      </c>
      <c r="D4" s="175"/>
      <c r="E4" s="175"/>
      <c r="F4" s="175"/>
      <c r="G4" s="175"/>
      <c r="K4" s="2" t="s">
        <v>227</v>
      </c>
      <c r="L4" s="2">
        <v>0.4</v>
      </c>
    </row>
    <row r="5" spans="3:12" x14ac:dyDescent="0.25">
      <c r="C5" s="120" t="s">
        <v>44</v>
      </c>
      <c r="D5" s="120" t="s">
        <v>220</v>
      </c>
      <c r="E5" s="120" t="s">
        <v>221</v>
      </c>
      <c r="F5" s="120" t="s">
        <v>230</v>
      </c>
      <c r="G5" s="120" t="s">
        <v>23</v>
      </c>
      <c r="H5" s="2"/>
      <c r="K5" s="2" t="s">
        <v>228</v>
      </c>
      <c r="L5" s="2">
        <v>4.5999999999999996</v>
      </c>
    </row>
    <row r="6" spans="3:12" x14ac:dyDescent="0.25">
      <c r="C6" s="2" t="s">
        <v>36</v>
      </c>
      <c r="D6" s="17">
        <v>150000000</v>
      </c>
      <c r="E6" s="2">
        <v>63800</v>
      </c>
      <c r="F6" s="17">
        <f>D6/E6</f>
        <v>2351.0971786833857</v>
      </c>
      <c r="G6" s="124" t="s">
        <v>234</v>
      </c>
    </row>
    <row r="7" spans="3:12" x14ac:dyDescent="0.25">
      <c r="C7" s="121" t="s">
        <v>222</v>
      </c>
      <c r="D7" s="122">
        <v>73000000</v>
      </c>
      <c r="E7" s="121">
        <v>18831</v>
      </c>
      <c r="F7" s="122">
        <f t="shared" ref="F7:F13" si="0">D7/E7</f>
        <v>3876.5864797408531</v>
      </c>
      <c r="G7" s="123" t="s">
        <v>235</v>
      </c>
    </row>
    <row r="8" spans="3:12" x14ac:dyDescent="0.25">
      <c r="C8" s="2" t="s">
        <v>231</v>
      </c>
      <c r="D8" s="17">
        <v>115000000</v>
      </c>
      <c r="E8" s="2">
        <v>21650</v>
      </c>
      <c r="F8" s="17">
        <f t="shared" si="0"/>
        <v>5311.778290993072</v>
      </c>
      <c r="G8" t="s">
        <v>236</v>
      </c>
    </row>
    <row r="9" spans="3:12" x14ac:dyDescent="0.25">
      <c r="C9" s="121" t="s">
        <v>232</v>
      </c>
      <c r="D9" s="122">
        <v>67000000</v>
      </c>
      <c r="E9" s="121">
        <v>22800</v>
      </c>
      <c r="F9" s="122">
        <f t="shared" si="0"/>
        <v>2938.5964912280701</v>
      </c>
      <c r="G9" s="123" t="s">
        <v>234</v>
      </c>
    </row>
    <row r="10" spans="3:12" x14ac:dyDescent="0.25">
      <c r="C10" s="2" t="s">
        <v>233</v>
      </c>
      <c r="D10" s="17">
        <v>2000000000</v>
      </c>
      <c r="E10" s="2">
        <v>95000</v>
      </c>
      <c r="F10" s="17">
        <f t="shared" si="0"/>
        <v>21052.63157894737</v>
      </c>
      <c r="G10" s="124" t="s">
        <v>237</v>
      </c>
    </row>
    <row r="11" spans="3:12" x14ac:dyDescent="0.25">
      <c r="C11" s="121" t="s">
        <v>223</v>
      </c>
      <c r="D11" s="122">
        <v>37000000</v>
      </c>
      <c r="E11" s="121">
        <v>3300</v>
      </c>
      <c r="F11" s="122">
        <f t="shared" si="0"/>
        <v>11212.121212121212</v>
      </c>
      <c r="G11" s="123" t="s">
        <v>238</v>
      </c>
    </row>
    <row r="12" spans="3:12" x14ac:dyDescent="0.25">
      <c r="C12" s="2" t="s">
        <v>224</v>
      </c>
      <c r="D12" s="17">
        <v>5300000</v>
      </c>
      <c r="E12" s="2">
        <v>220</v>
      </c>
      <c r="F12" s="17">
        <f t="shared" si="0"/>
        <v>24090.909090909092</v>
      </c>
      <c r="G12" t="s">
        <v>333</v>
      </c>
    </row>
    <row r="13" spans="3:12" x14ac:dyDescent="0.25">
      <c r="C13" s="121" t="s">
        <v>359</v>
      </c>
      <c r="D13" s="122">
        <v>85000000</v>
      </c>
      <c r="E13" s="121">
        <v>8200</v>
      </c>
      <c r="F13" s="122">
        <f t="shared" si="0"/>
        <v>10365.853658536585</v>
      </c>
      <c r="G13" s="125" t="s">
        <v>360</v>
      </c>
    </row>
  </sheetData>
  <mergeCells count="1">
    <mergeCell ref="C4:G4"/>
  </mergeCells>
  <hyperlinks>
    <hyperlink ref="G6" r:id="rId1" xr:uid="{AADC0C41-6AD2-47E7-B99D-03514EBFD4AE}"/>
    <hyperlink ref="G10" r:id="rId2" xr:uid="{EA0FDDBA-71DB-4577-8AA9-ACD7494A1B42}"/>
  </hyperlinks>
  <pageMargins left="0.7" right="0.7" top="0.75" bottom="0.75" header="0.3" footer="0.3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CBE3-F499-4949-9055-706566E810BA}">
  <sheetPr codeName="Sheet7"/>
  <dimension ref="B2:AE92"/>
  <sheetViews>
    <sheetView topLeftCell="A17" zoomScale="55" zoomScaleNormal="55" workbookViewId="0">
      <selection activeCell="X23" sqref="X23:X33"/>
    </sheetView>
  </sheetViews>
  <sheetFormatPr defaultRowHeight="15" x14ac:dyDescent="0.25"/>
  <cols>
    <col min="2" max="2" width="24.7109375" customWidth="1"/>
    <col min="3" max="4" width="15.5703125" customWidth="1"/>
    <col min="5" max="5" width="14.5703125" customWidth="1"/>
    <col min="6" max="6" width="14.140625" bestFit="1" customWidth="1"/>
    <col min="7" max="7" width="11.85546875" customWidth="1"/>
    <col min="8" max="8" width="30.140625" customWidth="1"/>
    <col min="9" max="9" width="23" customWidth="1"/>
    <col min="10" max="10" width="17.140625" customWidth="1"/>
    <col min="11" max="11" width="18.28515625" customWidth="1"/>
    <col min="12" max="12" width="17.5703125" customWidth="1"/>
    <col min="13" max="13" width="12.7109375" customWidth="1"/>
    <col min="15" max="15" width="13.42578125" customWidth="1"/>
    <col min="24" max="24" width="20.85546875" bestFit="1" customWidth="1"/>
    <col min="25" max="25" width="12.7109375" bestFit="1" customWidth="1"/>
    <col min="26" max="26" width="13.140625" bestFit="1" customWidth="1"/>
    <col min="27" max="27" width="14.5703125" bestFit="1" customWidth="1"/>
    <col min="28" max="28" width="10.5703125" bestFit="1" customWidth="1"/>
    <col min="29" max="29" width="12.28515625" bestFit="1" customWidth="1"/>
    <col min="30" max="30" width="12.140625" bestFit="1" customWidth="1"/>
    <col min="31" max="31" width="10" bestFit="1" customWidth="1"/>
  </cols>
  <sheetData>
    <row r="2" spans="2:15" x14ac:dyDescent="0.25">
      <c r="B2" t="s">
        <v>296</v>
      </c>
    </row>
    <row r="3" spans="2:15" x14ac:dyDescent="0.25">
      <c r="C3" s="2" t="s">
        <v>301</v>
      </c>
      <c r="D3" s="2" t="s">
        <v>302</v>
      </c>
      <c r="E3" s="2" t="s">
        <v>303</v>
      </c>
      <c r="F3" s="2" t="s">
        <v>304</v>
      </c>
      <c r="G3" s="2" t="s">
        <v>305</v>
      </c>
      <c r="H3" s="17" t="s">
        <v>306</v>
      </c>
      <c r="I3" s="17" t="s">
        <v>307</v>
      </c>
      <c r="J3" s="17" t="s">
        <v>308</v>
      </c>
      <c r="K3" s="17" t="s">
        <v>309</v>
      </c>
      <c r="L3" s="17" t="s">
        <v>310</v>
      </c>
      <c r="M3" s="17" t="s">
        <v>311</v>
      </c>
      <c r="N3" s="17" t="s">
        <v>312</v>
      </c>
    </row>
    <row r="4" spans="2:15" ht="18" customHeight="1" x14ac:dyDescent="0.25">
      <c r="B4" s="18" t="s">
        <v>288</v>
      </c>
      <c r="C4" s="17">
        <v>3757</v>
      </c>
      <c r="D4" s="2">
        <f>404.8+28.8+99.3</f>
        <v>532.9</v>
      </c>
      <c r="E4" s="17">
        <v>1770</v>
      </c>
      <c r="F4" s="2">
        <v>460</v>
      </c>
      <c r="G4" s="17">
        <v>2441</v>
      </c>
      <c r="H4" s="17">
        <v>2822</v>
      </c>
      <c r="I4" s="17">
        <v>1113</v>
      </c>
      <c r="J4" s="17">
        <v>2015</v>
      </c>
      <c r="K4" s="17">
        <v>1985</v>
      </c>
      <c r="L4" s="17">
        <v>1877</v>
      </c>
      <c r="M4" s="17">
        <v>1860</v>
      </c>
      <c r="N4" s="110">
        <f t="shared" ref="N4:N12" si="0">SUM(C4:M4)/SUM($C$13:$M$13)</f>
        <v>0.37014532844659487</v>
      </c>
      <c r="O4" s="18" t="s">
        <v>288</v>
      </c>
    </row>
    <row r="5" spans="2:15" x14ac:dyDescent="0.25">
      <c r="B5" t="s">
        <v>290</v>
      </c>
      <c r="C5" s="17">
        <v>1219</v>
      </c>
      <c r="D5" s="2">
        <v>252.5</v>
      </c>
      <c r="E5" s="17">
        <v>4969</v>
      </c>
      <c r="F5" s="2">
        <v>495</v>
      </c>
      <c r="G5" s="17">
        <v>983</v>
      </c>
      <c r="H5" s="17">
        <v>1749</v>
      </c>
      <c r="I5" s="17">
        <v>2362</v>
      </c>
      <c r="J5" s="17">
        <v>2425</v>
      </c>
      <c r="K5" s="17">
        <v>2347</v>
      </c>
      <c r="L5" s="17">
        <v>1125</v>
      </c>
      <c r="M5" s="17">
        <v>1095</v>
      </c>
      <c r="N5" s="110">
        <f t="shared" si="0"/>
        <v>0.34123750733279873</v>
      </c>
      <c r="O5" t="s">
        <v>290</v>
      </c>
    </row>
    <row r="6" spans="2:15" x14ac:dyDescent="0.25">
      <c r="B6" t="s">
        <v>289</v>
      </c>
      <c r="C6" s="2">
        <v>400</v>
      </c>
      <c r="D6" s="2">
        <v>125.7</v>
      </c>
      <c r="E6" s="2">
        <v>385</v>
      </c>
      <c r="F6" s="2">
        <v>366</v>
      </c>
      <c r="G6" s="2">
        <v>741</v>
      </c>
      <c r="H6" s="2">
        <v>204</v>
      </c>
      <c r="I6" s="2">
        <v>468</v>
      </c>
      <c r="J6" s="2">
        <v>553</v>
      </c>
      <c r="K6" s="2">
        <v>553</v>
      </c>
      <c r="L6" s="2">
        <v>553</v>
      </c>
      <c r="M6" s="2">
        <v>553</v>
      </c>
      <c r="N6" s="110">
        <f t="shared" si="0"/>
        <v>8.7934384233271795E-2</v>
      </c>
      <c r="O6" t="s">
        <v>289</v>
      </c>
    </row>
    <row r="7" spans="2:15" x14ac:dyDescent="0.25">
      <c r="B7" t="s">
        <v>299</v>
      </c>
      <c r="C7" s="2">
        <v>0</v>
      </c>
      <c r="D7" s="2"/>
      <c r="E7" s="2">
        <v>0</v>
      </c>
      <c r="F7" s="2">
        <v>194</v>
      </c>
      <c r="G7" s="2">
        <v>564</v>
      </c>
      <c r="H7" s="2">
        <v>0</v>
      </c>
      <c r="I7" s="17">
        <v>281</v>
      </c>
      <c r="J7" s="2">
        <v>777</v>
      </c>
      <c r="K7" s="17">
        <v>777</v>
      </c>
      <c r="L7" s="2">
        <v>777</v>
      </c>
      <c r="M7" s="2">
        <v>777</v>
      </c>
      <c r="N7" s="110">
        <f t="shared" si="0"/>
        <v>7.4395391683574716E-2</v>
      </c>
      <c r="O7" t="s">
        <v>299</v>
      </c>
    </row>
    <row r="8" spans="2:15" x14ac:dyDescent="0.25">
      <c r="B8" t="s">
        <v>291</v>
      </c>
      <c r="C8" s="2">
        <v>200</v>
      </c>
      <c r="D8" s="2">
        <v>120.1</v>
      </c>
      <c r="E8" s="2">
        <v>307</v>
      </c>
      <c r="F8" s="17">
        <v>29</v>
      </c>
      <c r="G8" s="2">
        <v>65</v>
      </c>
      <c r="H8" s="2">
        <v>818</v>
      </c>
      <c r="I8" s="2">
        <v>69</v>
      </c>
      <c r="J8" s="2">
        <v>594</v>
      </c>
      <c r="K8" s="2">
        <v>594</v>
      </c>
      <c r="L8" s="17">
        <v>594</v>
      </c>
      <c r="M8" s="2">
        <v>594</v>
      </c>
      <c r="N8" s="110">
        <f t="shared" si="0"/>
        <v>7.147303593116229E-2</v>
      </c>
      <c r="O8" t="s">
        <v>291</v>
      </c>
    </row>
    <row r="9" spans="2:15" x14ac:dyDescent="0.25">
      <c r="B9" t="s">
        <v>297</v>
      </c>
      <c r="C9" s="2">
        <v>0</v>
      </c>
      <c r="D9" s="17">
        <v>113.5</v>
      </c>
      <c r="E9" s="2">
        <v>420</v>
      </c>
      <c r="F9" s="2">
        <v>210</v>
      </c>
      <c r="G9" s="17">
        <v>57</v>
      </c>
      <c r="H9" s="2">
        <v>0</v>
      </c>
      <c r="I9" s="17">
        <v>88</v>
      </c>
      <c r="J9" s="2">
        <v>295</v>
      </c>
      <c r="K9" s="17">
        <v>289</v>
      </c>
      <c r="L9" s="2">
        <v>272</v>
      </c>
      <c r="M9" s="2">
        <v>269</v>
      </c>
      <c r="N9" s="110">
        <f t="shared" si="0"/>
        <v>3.6121321715668599E-2</v>
      </c>
      <c r="O9" t="s">
        <v>297</v>
      </c>
    </row>
    <row r="10" spans="2:15" x14ac:dyDescent="0.25">
      <c r="B10" t="s">
        <v>298</v>
      </c>
      <c r="C10" s="2">
        <v>685</v>
      </c>
      <c r="D10" s="2"/>
      <c r="E10" s="2">
        <v>0</v>
      </c>
      <c r="F10" s="2">
        <v>0</v>
      </c>
      <c r="G10" s="2">
        <v>0</v>
      </c>
      <c r="H10" s="2">
        <v>265</v>
      </c>
      <c r="I10" s="2">
        <v>92</v>
      </c>
      <c r="J10" s="2">
        <v>0</v>
      </c>
      <c r="K10" s="2">
        <v>0</v>
      </c>
      <c r="L10" s="2">
        <v>0</v>
      </c>
      <c r="M10" s="2">
        <v>0</v>
      </c>
      <c r="N10" s="110">
        <f t="shared" si="0"/>
        <v>1.869303065692907E-2</v>
      </c>
      <c r="O10" t="s">
        <v>298</v>
      </c>
    </row>
    <row r="11" spans="2:15" x14ac:dyDescent="0.25">
      <c r="B11" t="s">
        <v>300</v>
      </c>
      <c r="C11" s="2">
        <v>0</v>
      </c>
      <c r="D11" s="2">
        <v>0</v>
      </c>
      <c r="E11" s="17">
        <v>1878</v>
      </c>
      <c r="F11" s="2">
        <v>0</v>
      </c>
      <c r="G11" s="2">
        <v>703</v>
      </c>
      <c r="H11" s="2">
        <v>0</v>
      </c>
      <c r="I11" s="17">
        <v>1023</v>
      </c>
      <c r="J11" s="17">
        <v>1508</v>
      </c>
      <c r="K11" s="17">
        <v>1483</v>
      </c>
      <c r="L11" s="17">
        <v>1194</v>
      </c>
      <c r="M11" s="17">
        <v>1182</v>
      </c>
      <c r="N11" s="110">
        <f t="shared" si="0"/>
        <v>0.16093587142352273</v>
      </c>
      <c r="O11" t="s">
        <v>300</v>
      </c>
    </row>
    <row r="12" spans="2:15" ht="15.75" thickBot="1" x14ac:dyDescent="0.3">
      <c r="B12" t="s">
        <v>292</v>
      </c>
      <c r="C12" s="2">
        <v>431</v>
      </c>
      <c r="D12" s="2">
        <v>56</v>
      </c>
      <c r="E12" s="17">
        <v>1469</v>
      </c>
      <c r="F12" s="17">
        <v>273</v>
      </c>
      <c r="G12" s="2">
        <v>109</v>
      </c>
      <c r="H12" s="2">
        <v>0</v>
      </c>
      <c r="I12" s="17">
        <v>640</v>
      </c>
      <c r="J12" s="2">
        <v>883</v>
      </c>
      <c r="K12" s="17">
        <v>867</v>
      </c>
      <c r="L12" s="2">
        <v>772</v>
      </c>
      <c r="M12" s="2">
        <v>764</v>
      </c>
      <c r="N12" s="110">
        <f t="shared" si="0"/>
        <v>0.11237345876679818</v>
      </c>
      <c r="O12" t="s">
        <v>292</v>
      </c>
    </row>
    <row r="13" spans="2:15" ht="15.75" thickBot="1" x14ac:dyDescent="0.3">
      <c r="B13" s="107" t="s">
        <v>18</v>
      </c>
      <c r="C13" s="108">
        <f t="shared" ref="C13:M13" si="1">SUM(C4:C10)</f>
        <v>6261</v>
      </c>
      <c r="D13" s="108">
        <f t="shared" si="1"/>
        <v>1144.7</v>
      </c>
      <c r="E13" s="108">
        <f t="shared" si="1"/>
        <v>7851</v>
      </c>
      <c r="F13" s="108">
        <f t="shared" si="1"/>
        <v>1754</v>
      </c>
      <c r="G13" s="108">
        <f t="shared" si="1"/>
        <v>4851</v>
      </c>
      <c r="H13" s="108">
        <f t="shared" si="1"/>
        <v>5858</v>
      </c>
      <c r="I13" s="108">
        <f t="shared" si="1"/>
        <v>4473</v>
      </c>
      <c r="J13" s="108">
        <f t="shared" si="1"/>
        <v>6659</v>
      </c>
      <c r="K13" s="108">
        <f t="shared" si="1"/>
        <v>6545</v>
      </c>
      <c r="L13" s="108">
        <f t="shared" si="1"/>
        <v>5198</v>
      </c>
      <c r="M13" s="109">
        <f t="shared" si="1"/>
        <v>5148</v>
      </c>
    </row>
    <row r="20" spans="2:31" ht="15.75" thickBot="1" x14ac:dyDescent="0.3"/>
    <row r="21" spans="2:31" ht="15.75" thickBot="1" x14ac:dyDescent="0.3">
      <c r="X21" s="176" t="s">
        <v>334</v>
      </c>
      <c r="Y21" s="177"/>
      <c r="Z21" s="177"/>
      <c r="AA21" s="177"/>
      <c r="AB21" s="177"/>
      <c r="AC21" s="177"/>
      <c r="AD21" s="177"/>
      <c r="AE21" s="178"/>
    </row>
    <row r="22" spans="2:31" x14ac:dyDescent="0.25">
      <c r="X22" s="146" t="s">
        <v>335</v>
      </c>
      <c r="Y22" s="154" t="s">
        <v>338</v>
      </c>
      <c r="Z22" s="155" t="s">
        <v>339</v>
      </c>
      <c r="AA22" s="156" t="s">
        <v>340</v>
      </c>
      <c r="AB22" s="156" t="s">
        <v>341</v>
      </c>
      <c r="AC22" s="156" t="s">
        <v>342</v>
      </c>
      <c r="AD22" s="157" t="s">
        <v>343</v>
      </c>
      <c r="AE22" s="147" t="s">
        <v>344</v>
      </c>
    </row>
    <row r="23" spans="2:31" x14ac:dyDescent="0.25">
      <c r="X23" s="148" t="s">
        <v>304</v>
      </c>
      <c r="Y23" s="158">
        <f t="shared" ref="Y23:Y33" si="2">SUM(Z23:AE23)</f>
        <v>2027</v>
      </c>
      <c r="Z23" s="159">
        <v>460</v>
      </c>
      <c r="AA23" s="159">
        <v>495</v>
      </c>
      <c r="AB23" s="159">
        <v>366</v>
      </c>
      <c r="AC23" s="159">
        <v>29</v>
      </c>
      <c r="AD23" s="160">
        <f>210+194</f>
        <v>404</v>
      </c>
      <c r="AE23" s="149">
        <v>273</v>
      </c>
    </row>
    <row r="24" spans="2:31" x14ac:dyDescent="0.25">
      <c r="X24" s="150" t="s">
        <v>302</v>
      </c>
      <c r="Y24" s="161">
        <f t="shared" si="2"/>
        <v>1200.7</v>
      </c>
      <c r="Z24" s="162">
        <f>404.8+28.8+99.3</f>
        <v>532.9</v>
      </c>
      <c r="AA24" s="162">
        <v>252.5</v>
      </c>
      <c r="AB24" s="162">
        <v>125.7</v>
      </c>
      <c r="AC24" s="162">
        <v>120.1</v>
      </c>
      <c r="AD24" s="163">
        <v>113.5</v>
      </c>
      <c r="AE24" s="151">
        <v>56</v>
      </c>
    </row>
    <row r="25" spans="2:31" x14ac:dyDescent="0.25">
      <c r="X25" s="148" t="s">
        <v>315</v>
      </c>
      <c r="Y25" s="158">
        <f t="shared" si="2"/>
        <v>9823</v>
      </c>
      <c r="Z25" s="159">
        <v>1681</v>
      </c>
      <c r="AA25" s="159">
        <v>4258</v>
      </c>
      <c r="AB25" s="159">
        <v>478</v>
      </c>
      <c r="AC25" s="159">
        <v>934</v>
      </c>
      <c r="AD25" s="160">
        <v>2017</v>
      </c>
      <c r="AE25" s="149">
        <v>455</v>
      </c>
    </row>
    <row r="26" spans="2:31" x14ac:dyDescent="0.25">
      <c r="X26" s="150" t="s">
        <v>303</v>
      </c>
      <c r="Y26" s="161">
        <f t="shared" si="2"/>
        <v>9320</v>
      </c>
      <c r="Z26" s="162">
        <v>1770</v>
      </c>
      <c r="AA26" s="162">
        <v>4969</v>
      </c>
      <c r="AB26" s="162">
        <v>385</v>
      </c>
      <c r="AC26" s="162">
        <v>307</v>
      </c>
      <c r="AD26" s="163">
        <v>420</v>
      </c>
      <c r="AE26" s="151">
        <v>1469</v>
      </c>
    </row>
    <row r="27" spans="2:31" x14ac:dyDescent="0.25">
      <c r="X27" s="148" t="s">
        <v>306</v>
      </c>
      <c r="Y27" s="158">
        <f t="shared" si="2"/>
        <v>5858</v>
      </c>
      <c r="Z27" s="159">
        <v>2822</v>
      </c>
      <c r="AA27" s="159">
        <v>1749</v>
      </c>
      <c r="AB27" s="159">
        <v>204</v>
      </c>
      <c r="AC27" s="159">
        <f>818+265</f>
        <v>1083</v>
      </c>
      <c r="AD27" s="160">
        <v>0</v>
      </c>
      <c r="AE27" s="149">
        <v>0</v>
      </c>
    </row>
    <row r="28" spans="2:31" x14ac:dyDescent="0.25">
      <c r="X28" s="150" t="s">
        <v>336</v>
      </c>
      <c r="Y28" s="161">
        <f t="shared" si="2"/>
        <v>3485.29</v>
      </c>
      <c r="Z28" s="162">
        <v>1186.3399999999999</v>
      </c>
      <c r="AA28" s="162">
        <v>918.21</v>
      </c>
      <c r="AB28" s="162">
        <v>663</v>
      </c>
      <c r="AC28" s="162">
        <v>258.7</v>
      </c>
      <c r="AD28" s="163">
        <v>459.04</v>
      </c>
      <c r="AE28" s="151">
        <v>0</v>
      </c>
    </row>
    <row r="29" spans="2:31" x14ac:dyDescent="0.25">
      <c r="X29" s="148" t="s">
        <v>337</v>
      </c>
      <c r="Y29" s="158">
        <f t="shared" si="2"/>
        <v>353.70000000000005</v>
      </c>
      <c r="Z29" s="159">
        <v>45</v>
      </c>
      <c r="AA29" s="159">
        <f>108+51.2+32.24</f>
        <v>191.44</v>
      </c>
      <c r="AB29" s="159">
        <f>8.18+33</f>
        <v>41.18</v>
      </c>
      <c r="AC29" s="159">
        <f>25+18.84+32.24</f>
        <v>76.080000000000013</v>
      </c>
      <c r="AD29" s="160">
        <v>0</v>
      </c>
      <c r="AE29" s="149">
        <v>0</v>
      </c>
    </row>
    <row r="30" spans="2:31" x14ac:dyDescent="0.25">
      <c r="X30" s="150" t="s">
        <v>308</v>
      </c>
      <c r="Y30" s="161">
        <f t="shared" si="2"/>
        <v>7542</v>
      </c>
      <c r="Z30" s="162">
        <v>2015</v>
      </c>
      <c r="AA30" s="162">
        <v>2425</v>
      </c>
      <c r="AB30" s="162">
        <v>553</v>
      </c>
      <c r="AC30" s="162">
        <v>594</v>
      </c>
      <c r="AD30" s="163">
        <f>295+777</f>
        <v>1072</v>
      </c>
      <c r="AE30" s="151">
        <v>883</v>
      </c>
    </row>
    <row r="31" spans="2:31" x14ac:dyDescent="0.25">
      <c r="B31" t="s">
        <v>334</v>
      </c>
      <c r="X31" s="148" t="s">
        <v>309</v>
      </c>
      <c r="Y31" s="158">
        <f t="shared" si="2"/>
        <v>7412</v>
      </c>
      <c r="Z31" s="159">
        <v>1985</v>
      </c>
      <c r="AA31" s="159">
        <v>2347</v>
      </c>
      <c r="AB31" s="159">
        <v>553</v>
      </c>
      <c r="AC31" s="159">
        <v>594</v>
      </c>
      <c r="AD31" s="160">
        <f>289+777</f>
        <v>1066</v>
      </c>
      <c r="AE31" s="149">
        <v>867</v>
      </c>
    </row>
    <row r="32" spans="2:31" x14ac:dyDescent="0.25">
      <c r="C32" s="2" t="s">
        <v>304</v>
      </c>
      <c r="D32" s="2" t="s">
        <v>302</v>
      </c>
      <c r="E32" t="s">
        <v>315</v>
      </c>
      <c r="F32" s="2" t="s">
        <v>303</v>
      </c>
      <c r="G32" s="2" t="s">
        <v>306</v>
      </c>
      <c r="H32" s="2" t="s">
        <v>317</v>
      </c>
      <c r="I32" s="2" t="s">
        <v>318</v>
      </c>
      <c r="J32" s="17" t="s">
        <v>308</v>
      </c>
      <c r="K32" s="17" t="s">
        <v>309</v>
      </c>
      <c r="L32" s="17" t="s">
        <v>310</v>
      </c>
      <c r="M32" s="17" t="s">
        <v>311</v>
      </c>
      <c r="N32" s="17" t="s">
        <v>312</v>
      </c>
      <c r="X32" s="150" t="s">
        <v>310</v>
      </c>
      <c r="Y32" s="161">
        <f t="shared" si="2"/>
        <v>5970</v>
      </c>
      <c r="Z32" s="162">
        <v>1877</v>
      </c>
      <c r="AA32" s="162">
        <v>1125</v>
      </c>
      <c r="AB32" s="162">
        <v>553</v>
      </c>
      <c r="AC32" s="162">
        <v>594</v>
      </c>
      <c r="AD32" s="163">
        <f>272+777</f>
        <v>1049</v>
      </c>
      <c r="AE32" s="151">
        <v>772</v>
      </c>
    </row>
    <row r="33" spans="2:31" ht="15.75" thickBot="1" x14ac:dyDescent="0.3">
      <c r="B33" s="18" t="s">
        <v>288</v>
      </c>
      <c r="C33" s="2">
        <v>460</v>
      </c>
      <c r="D33" s="2">
        <f>404.8+28.8+99.3</f>
        <v>532.9</v>
      </c>
      <c r="E33" s="2">
        <v>1681</v>
      </c>
      <c r="F33" s="17">
        <v>1770</v>
      </c>
      <c r="G33" s="17">
        <v>2822</v>
      </c>
      <c r="H33" s="17">
        <v>1186.3399999999999</v>
      </c>
      <c r="I33" s="17">
        <v>45</v>
      </c>
      <c r="J33" s="17">
        <v>2015</v>
      </c>
      <c r="K33" s="17">
        <v>1985</v>
      </c>
      <c r="L33" s="17">
        <v>1877</v>
      </c>
      <c r="M33" s="17">
        <v>1860</v>
      </c>
      <c r="N33" s="110">
        <f>SUM(C33:M33)/SUM($C$39:$M$39)</f>
        <v>0.2756065027505068</v>
      </c>
      <c r="X33" s="148" t="s">
        <v>311</v>
      </c>
      <c r="Y33" s="158">
        <f t="shared" si="2"/>
        <v>5912</v>
      </c>
      <c r="Z33" s="159">
        <v>1860</v>
      </c>
      <c r="AA33" s="159">
        <v>1095</v>
      </c>
      <c r="AB33" s="159">
        <v>553</v>
      </c>
      <c r="AC33" s="159">
        <v>594</v>
      </c>
      <c r="AD33" s="160">
        <f>269+777</f>
        <v>1046</v>
      </c>
      <c r="AE33" s="149">
        <v>764</v>
      </c>
    </row>
    <row r="34" spans="2:31" ht="15.75" thickBot="1" x14ac:dyDescent="0.3">
      <c r="B34" t="s">
        <v>290</v>
      </c>
      <c r="C34" s="2">
        <v>495</v>
      </c>
      <c r="D34" s="2">
        <v>252.5</v>
      </c>
      <c r="E34" s="2">
        <v>4258</v>
      </c>
      <c r="F34" s="17">
        <v>4969</v>
      </c>
      <c r="G34" s="17">
        <v>1749</v>
      </c>
      <c r="H34" s="2">
        <v>918.21</v>
      </c>
      <c r="I34" s="17">
        <f>108+51.2+32.24</f>
        <v>191.44</v>
      </c>
      <c r="J34" s="17">
        <v>2425</v>
      </c>
      <c r="K34" s="17">
        <v>2347</v>
      </c>
      <c r="L34" s="17">
        <v>1125</v>
      </c>
      <c r="M34" s="17">
        <v>1095</v>
      </c>
      <c r="N34" s="110">
        <f t="shared" ref="N34:N38" si="3">SUM(C34:M34)/SUM($C$39:$M$39)</f>
        <v>0.33656889746635571</v>
      </c>
      <c r="X34" s="152" t="s">
        <v>312</v>
      </c>
      <c r="Y34" s="164">
        <f t="shared" ref="Y34:AE34" si="4">SUM(Y23:Y33)/SUM($Y$23:$Y$33)</f>
        <v>1</v>
      </c>
      <c r="Z34" s="165">
        <f t="shared" si="4"/>
        <v>0.2756065027505068</v>
      </c>
      <c r="AA34" s="165">
        <f t="shared" si="4"/>
        <v>0.33656889746635571</v>
      </c>
      <c r="AB34" s="165">
        <f t="shared" si="4"/>
        <v>7.5969434172969447E-2</v>
      </c>
      <c r="AC34" s="165">
        <f t="shared" si="4"/>
        <v>8.8006031540638602E-2</v>
      </c>
      <c r="AD34" s="166">
        <f t="shared" si="4"/>
        <v>0.12981427818868393</v>
      </c>
      <c r="AE34" s="153">
        <f t="shared" si="4"/>
        <v>9.4034855880845494E-2</v>
      </c>
    </row>
    <row r="35" spans="2:31" x14ac:dyDescent="0.25">
      <c r="B35" t="s">
        <v>289</v>
      </c>
      <c r="C35" s="2">
        <v>366</v>
      </c>
      <c r="D35" s="2">
        <v>125.7</v>
      </c>
      <c r="E35" s="2">
        <v>478</v>
      </c>
      <c r="F35" s="2">
        <v>385</v>
      </c>
      <c r="G35" s="2">
        <v>204</v>
      </c>
      <c r="H35" s="2">
        <v>663</v>
      </c>
      <c r="I35" s="2">
        <f>8.18+33</f>
        <v>41.18</v>
      </c>
      <c r="J35" s="2">
        <v>553</v>
      </c>
      <c r="K35" s="2">
        <v>553</v>
      </c>
      <c r="L35" s="2">
        <v>553</v>
      </c>
      <c r="M35" s="2">
        <v>553</v>
      </c>
      <c r="N35" s="110">
        <f t="shared" si="3"/>
        <v>7.5969434172969447E-2</v>
      </c>
    </row>
    <row r="36" spans="2:31" x14ac:dyDescent="0.25">
      <c r="B36" t="s">
        <v>291</v>
      </c>
      <c r="C36" s="17">
        <v>29</v>
      </c>
      <c r="D36" s="2">
        <v>120.1</v>
      </c>
      <c r="E36" s="2">
        <v>934</v>
      </c>
      <c r="F36" s="2">
        <v>307</v>
      </c>
      <c r="G36" s="2">
        <f>818+265</f>
        <v>1083</v>
      </c>
      <c r="H36" s="2">
        <v>258.7</v>
      </c>
      <c r="I36" s="17">
        <f>25+18.84+32.24</f>
        <v>76.080000000000013</v>
      </c>
      <c r="J36" s="2">
        <v>594</v>
      </c>
      <c r="K36" s="2">
        <v>594</v>
      </c>
      <c r="L36" s="17">
        <v>594</v>
      </c>
      <c r="M36" s="2">
        <v>594</v>
      </c>
      <c r="N36" s="110">
        <f t="shared" si="3"/>
        <v>8.8006031540638602E-2</v>
      </c>
    </row>
    <row r="37" spans="2:31" x14ac:dyDescent="0.25">
      <c r="B37" t="s">
        <v>316</v>
      </c>
      <c r="C37" s="2">
        <f>210+194</f>
        <v>404</v>
      </c>
      <c r="D37" s="17">
        <v>113.5</v>
      </c>
      <c r="E37" s="2">
        <v>2017</v>
      </c>
      <c r="F37" s="2">
        <v>420</v>
      </c>
      <c r="G37" s="2">
        <v>0</v>
      </c>
      <c r="H37" s="2">
        <v>459.04</v>
      </c>
      <c r="I37" s="17">
        <v>0</v>
      </c>
      <c r="J37" s="2">
        <f>295+777</f>
        <v>1072</v>
      </c>
      <c r="K37" s="17">
        <f>289+777</f>
        <v>1066</v>
      </c>
      <c r="L37" s="2">
        <f>272+777</f>
        <v>1049</v>
      </c>
      <c r="M37" s="2">
        <f>269+777</f>
        <v>1046</v>
      </c>
      <c r="N37" s="110">
        <f t="shared" si="3"/>
        <v>0.12981427818868393</v>
      </c>
    </row>
    <row r="38" spans="2:31" ht="15.75" thickBot="1" x14ac:dyDescent="0.3">
      <c r="B38" t="s">
        <v>292</v>
      </c>
      <c r="C38" s="17">
        <v>273</v>
      </c>
      <c r="D38" s="2">
        <v>56</v>
      </c>
      <c r="E38" s="2">
        <v>455</v>
      </c>
      <c r="F38" s="17">
        <v>1469</v>
      </c>
      <c r="G38" s="2">
        <v>0</v>
      </c>
      <c r="H38" s="2">
        <v>0</v>
      </c>
      <c r="I38" s="17">
        <v>0</v>
      </c>
      <c r="J38" s="2">
        <v>883</v>
      </c>
      <c r="K38" s="17">
        <v>867</v>
      </c>
      <c r="L38" s="2">
        <v>772</v>
      </c>
      <c r="M38" s="2">
        <v>764</v>
      </c>
      <c r="N38" s="110">
        <f t="shared" si="3"/>
        <v>9.4034855880845494E-2</v>
      </c>
    </row>
    <row r="39" spans="2:31" ht="15.75" thickBot="1" x14ac:dyDescent="0.3">
      <c r="B39" s="107" t="s">
        <v>319</v>
      </c>
      <c r="C39" s="115">
        <f>SUM(C33:C38)</f>
        <v>2027</v>
      </c>
      <c r="D39" s="115">
        <f t="shared" ref="D39:M39" si="5">SUM(D33:D38)</f>
        <v>1200.7</v>
      </c>
      <c r="E39" s="115">
        <f t="shared" si="5"/>
        <v>9823</v>
      </c>
      <c r="F39" s="115">
        <f t="shared" si="5"/>
        <v>9320</v>
      </c>
      <c r="G39" s="115">
        <f t="shared" si="5"/>
        <v>5858</v>
      </c>
      <c r="H39" s="115">
        <f t="shared" si="5"/>
        <v>3485.29</v>
      </c>
      <c r="I39" s="115">
        <f t="shared" si="5"/>
        <v>353.70000000000005</v>
      </c>
      <c r="J39" s="115">
        <f t="shared" si="5"/>
        <v>7542</v>
      </c>
      <c r="K39" s="115">
        <f t="shared" si="5"/>
        <v>7412</v>
      </c>
      <c r="L39" s="115">
        <f t="shared" si="5"/>
        <v>5970</v>
      </c>
      <c r="M39" s="115">
        <f t="shared" si="5"/>
        <v>5912</v>
      </c>
      <c r="N39" s="18"/>
    </row>
    <row r="40" spans="2:31" x14ac:dyDescent="0.25">
      <c r="I40" s="18"/>
      <c r="J40" s="17"/>
      <c r="K40" s="17"/>
      <c r="L40" s="17"/>
      <c r="M40" s="17"/>
    </row>
    <row r="41" spans="2:31" x14ac:dyDescent="0.25">
      <c r="I41" s="18"/>
    </row>
    <row r="72" spans="2:2" x14ac:dyDescent="0.25">
      <c r="B72" t="s">
        <v>321</v>
      </c>
    </row>
    <row r="73" spans="2:2" x14ac:dyDescent="0.25">
      <c r="B73" t="s">
        <v>322</v>
      </c>
    </row>
    <row r="92" spans="2:2" x14ac:dyDescent="0.25">
      <c r="B92" t="s">
        <v>320</v>
      </c>
    </row>
  </sheetData>
  <sortState xmlns:xlrd2="http://schemas.microsoft.com/office/spreadsheetml/2017/richdata2" ref="B4:N12">
    <sortCondition descending="1" ref="N4:N12"/>
  </sortState>
  <mergeCells count="1">
    <mergeCell ref="X21:AE2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B72C-E83B-4ADB-A49D-3E61B2DF16E6}">
  <sheetPr codeName="Sheet8"/>
  <dimension ref="C3:Q46"/>
  <sheetViews>
    <sheetView topLeftCell="C29" zoomScale="70" zoomScaleNormal="70" workbookViewId="0">
      <selection activeCell="E59" sqref="E59"/>
    </sheetView>
  </sheetViews>
  <sheetFormatPr defaultRowHeight="15" x14ac:dyDescent="0.25"/>
  <cols>
    <col min="3" max="3" width="48" customWidth="1"/>
    <col min="4" max="4" width="52.7109375" bestFit="1" customWidth="1"/>
    <col min="5" max="5" width="12" bestFit="1" customWidth="1"/>
    <col min="7" max="7" width="45.28515625" customWidth="1"/>
    <col min="8" max="8" width="43.7109375" customWidth="1"/>
    <col min="9" max="9" width="15.42578125" customWidth="1"/>
  </cols>
  <sheetData>
    <row r="3" spans="3:17" x14ac:dyDescent="0.25">
      <c r="G3" t="s">
        <v>247</v>
      </c>
    </row>
    <row r="4" spans="3:17" x14ac:dyDescent="0.25">
      <c r="C4" t="s">
        <v>246</v>
      </c>
      <c r="G4" t="str" cm="1">
        <f t="array" ref="G4:I10">'Sizing and Cost Calcs'!K16:M22</f>
        <v>mdry [kg]</v>
      </c>
      <c r="H4">
        <v>0</v>
      </c>
      <c r="I4" s="62">
        <v>5909.9978401806566</v>
      </c>
      <c r="O4" t="s">
        <v>248</v>
      </c>
      <c r="P4" t="s">
        <v>249</v>
      </c>
      <c r="Q4" t="s">
        <v>250</v>
      </c>
    </row>
    <row r="5" spans="3:17" x14ac:dyDescent="0.25">
      <c r="C5" s="98" t="str" cm="1">
        <f t="array" ref="C5:E10">'Sizing and Cost Calcs'!E8:G13</f>
        <v>mdry [kg]</v>
      </c>
      <c r="D5" s="59" t="str">
        <v>mp = 0.33212 * mdry</v>
      </c>
      <c r="E5" s="99">
        <v>6022.2824450466724</v>
      </c>
      <c r="G5" t="str">
        <v>mp [kg]</v>
      </c>
      <c r="H5" t="str">
        <v>mp = mdry/0.3321</v>
      </c>
      <c r="I5" s="62">
        <v>1962.710282723996</v>
      </c>
    </row>
    <row r="6" spans="3:17" x14ac:dyDescent="0.25">
      <c r="C6" s="100" t="str">
        <v>mp [kg]</v>
      </c>
      <c r="D6">
        <v>0</v>
      </c>
      <c r="E6" s="101">
        <v>2000</v>
      </c>
      <c r="G6" t="str">
        <v>dv [m/s]</v>
      </c>
      <c r="H6" t="str">
        <v>LOPG-Surface-LOPG</v>
      </c>
      <c r="I6" s="62">
        <v>5000</v>
      </c>
    </row>
    <row r="7" spans="3:17" x14ac:dyDescent="0.25">
      <c r="C7" s="100" t="str">
        <v>dV req [m/s]</v>
      </c>
      <c r="D7" t="str">
        <v>LEO-LOPG-Surface-LOPG-LEO
dV is from the landing case</v>
      </c>
      <c r="E7" s="101">
        <v>9060</v>
      </c>
      <c r="G7" t="str">
        <v>Isp [s]</v>
      </c>
      <c r="H7" t="str">
        <v>LOX/LH2</v>
      </c>
      <c r="I7" s="62">
        <v>450</v>
      </c>
    </row>
    <row r="8" spans="3:17" x14ac:dyDescent="0.25">
      <c r="C8" s="100" t="str">
        <v>Isp [s]</v>
      </c>
      <c r="D8" t="str">
        <v>LOX/LH2</v>
      </c>
      <c r="E8" s="101">
        <v>450</v>
      </c>
      <c r="G8" t="str">
        <v>mprop [kg]</v>
      </c>
      <c r="H8" t="str">
        <v>assume up=down</v>
      </c>
      <c r="I8" s="62">
        <v>15340.929116089726</v>
      </c>
    </row>
    <row r="9" spans="3:17" x14ac:dyDescent="0.25">
      <c r="C9" s="100" t="str">
        <v>mprop [kg]</v>
      </c>
      <c r="D9" t="str">
        <v>0.95*Tsiolkovsky</v>
      </c>
      <c r="E9" s="103">
        <v>51316.152376233069</v>
      </c>
      <c r="G9" t="str">
        <v>Ec[J]</v>
      </c>
      <c r="H9">
        <v>0</v>
      </c>
      <c r="I9" s="4">
        <v>98408851536.308151</v>
      </c>
    </row>
    <row r="10" spans="3:17" x14ac:dyDescent="0.25">
      <c r="C10" s="102" t="str">
        <v>mtotal [kg]</v>
      </c>
      <c r="D10" s="63">
        <v>0</v>
      </c>
      <c r="E10" s="104">
        <v>59338.434821279741</v>
      </c>
      <c r="G10" t="str">
        <v>mtotal [kg]</v>
      </c>
      <c r="H10">
        <v>0</v>
      </c>
      <c r="I10" s="62">
        <v>23213.637238994379</v>
      </c>
    </row>
    <row r="11" spans="3:17" x14ac:dyDescent="0.25">
      <c r="C11" t="s">
        <v>256</v>
      </c>
      <c r="E11">
        <v>8</v>
      </c>
      <c r="G11" s="59" t="s">
        <v>256</v>
      </c>
      <c r="H11" s="59"/>
      <c r="I11" s="59">
        <v>8</v>
      </c>
    </row>
    <row r="12" spans="3:17" x14ac:dyDescent="0.25">
      <c r="C12" t="s">
        <v>257</v>
      </c>
      <c r="E12">
        <v>1150</v>
      </c>
      <c r="G12" t="s">
        <v>257</v>
      </c>
      <c r="I12">
        <v>1150</v>
      </c>
    </row>
    <row r="13" spans="3:17" x14ac:dyDescent="0.25">
      <c r="C13" t="s">
        <v>258</v>
      </c>
      <c r="E13">
        <v>70</v>
      </c>
      <c r="G13" t="s">
        <v>258</v>
      </c>
      <c r="I13">
        <v>70</v>
      </c>
    </row>
    <row r="14" spans="3:17" x14ac:dyDescent="0.25">
      <c r="C14" t="s">
        <v>259</v>
      </c>
      <c r="D14" t="s">
        <v>260</v>
      </c>
      <c r="E14" s="62">
        <f>((E11+1)*E12)/(E11+(E12/E13))/1150</f>
        <v>0.36842105263157898</v>
      </c>
      <c r="G14" t="s">
        <v>259</v>
      </c>
      <c r="H14" t="s">
        <v>260</v>
      </c>
      <c r="I14" s="62">
        <f>((I11+1)*I12)/(I11+(I12/I13))/1150</f>
        <v>0.36842105263157898</v>
      </c>
    </row>
    <row r="15" spans="3:17" x14ac:dyDescent="0.25">
      <c r="C15" t="s">
        <v>261</v>
      </c>
      <c r="D15" t="s">
        <v>262</v>
      </c>
      <c r="E15">
        <v>2</v>
      </c>
      <c r="G15" t="s">
        <v>261</v>
      </c>
      <c r="H15" t="s">
        <v>262</v>
      </c>
      <c r="I15">
        <v>2</v>
      </c>
    </row>
    <row r="16" spans="3:17" x14ac:dyDescent="0.25">
      <c r="C16" t="s">
        <v>263</v>
      </c>
      <c r="D16" t="s">
        <v>264</v>
      </c>
      <c r="E16">
        <v>0</v>
      </c>
      <c r="G16" t="s">
        <v>263</v>
      </c>
      <c r="H16" t="s">
        <v>264</v>
      </c>
      <c r="I16">
        <v>0</v>
      </c>
    </row>
    <row r="17" spans="3:9" x14ac:dyDescent="0.25">
      <c r="C17" t="s">
        <v>265</v>
      </c>
      <c r="D17" t="s">
        <v>279</v>
      </c>
      <c r="E17">
        <v>4</v>
      </c>
      <c r="G17" t="s">
        <v>265</v>
      </c>
      <c r="H17" t="s">
        <v>279</v>
      </c>
      <c r="I17">
        <v>4</v>
      </c>
    </row>
    <row r="18" spans="3:9" x14ac:dyDescent="0.25">
      <c r="C18" t="s">
        <v>266</v>
      </c>
      <c r="D18" t="s">
        <v>267</v>
      </c>
      <c r="E18">
        <v>14</v>
      </c>
      <c r="G18" t="s">
        <v>266</v>
      </c>
      <c r="H18" t="s">
        <v>267</v>
      </c>
      <c r="I18">
        <v>14</v>
      </c>
    </row>
    <row r="19" spans="3:9" x14ac:dyDescent="0.25">
      <c r="C19" t="s">
        <v>268</v>
      </c>
      <c r="D19" t="s">
        <v>269</v>
      </c>
      <c r="E19" s="18">
        <f>E10*1.78*9.81/6</f>
        <v>172692.64686037044</v>
      </c>
      <c r="G19" t="s">
        <v>268</v>
      </c>
      <c r="H19" t="s">
        <v>295</v>
      </c>
      <c r="I19" s="18">
        <f>I10*1.78*1.62</f>
        <v>66938.844342364187</v>
      </c>
    </row>
    <row r="20" spans="3:9" x14ac:dyDescent="0.25">
      <c r="C20" t="s">
        <v>270</v>
      </c>
      <c r="D20" t="s">
        <v>271</v>
      </c>
      <c r="E20">
        <v>0.123</v>
      </c>
      <c r="G20" t="s">
        <v>270</v>
      </c>
      <c r="H20" t="s">
        <v>271</v>
      </c>
      <c r="I20">
        <v>0.123</v>
      </c>
    </row>
    <row r="21" spans="3:9" x14ac:dyDescent="0.25">
      <c r="C21" s="59" t="s">
        <v>251</v>
      </c>
      <c r="D21" s="59" t="s">
        <v>276</v>
      </c>
      <c r="E21" s="105">
        <f>0.3*E5</f>
        <v>1806.6847335140017</v>
      </c>
      <c r="G21" s="116" t="s">
        <v>251</v>
      </c>
      <c r="H21" s="116" t="s">
        <v>276</v>
      </c>
      <c r="I21" s="117">
        <f>0.31*I4</f>
        <v>1832.0993304560036</v>
      </c>
    </row>
    <row r="22" spans="3:9" x14ac:dyDescent="0.25">
      <c r="C22" t="s">
        <v>252</v>
      </c>
      <c r="D22" t="s">
        <v>253</v>
      </c>
      <c r="E22" s="106">
        <f>0.0135*1^0.4118*E19^0.471*E9^0.3574</f>
        <v>190.7807537546243</v>
      </c>
      <c r="G22" t="s">
        <v>252</v>
      </c>
      <c r="H22" t="s">
        <v>327</v>
      </c>
      <c r="I22" s="106">
        <f>I19/530.54</f>
        <v>126.17115456396161</v>
      </c>
    </row>
    <row r="23" spans="3:9" x14ac:dyDescent="0.25">
      <c r="D23" t="s">
        <v>254</v>
      </c>
      <c r="E23" s="106">
        <f>0.4078*((E9*E14)^0.75)*(2^-1.0836)*(1^-0.1739)</f>
        <v>310.24158603702779</v>
      </c>
      <c r="H23" t="s">
        <v>254</v>
      </c>
      <c r="I23" s="106">
        <f>0.1*I8</f>
        <v>1534.0929116089728</v>
      </c>
    </row>
    <row r="24" spans="3:9" x14ac:dyDescent="0.25">
      <c r="D24" t="s">
        <v>255</v>
      </c>
      <c r="E24" s="106">
        <f>0.00001139*6^3.088*E5^0.806</f>
        <v>3.2058429869741194</v>
      </c>
      <c r="H24" t="s">
        <v>255</v>
      </c>
      <c r="I24" s="106">
        <f>0.00001139*12^3.088*I4^0.806</f>
        <v>26.849412891262116</v>
      </c>
    </row>
    <row r="25" spans="3:9" x14ac:dyDescent="0.25">
      <c r="C25" t="s">
        <v>277</v>
      </c>
      <c r="H25" t="s">
        <v>293</v>
      </c>
      <c r="I25" s="62">
        <f>0.1*I22</f>
        <v>12.617115456396162</v>
      </c>
    </row>
    <row r="26" spans="3:9" x14ac:dyDescent="0.25">
      <c r="C26" t="s">
        <v>272</v>
      </c>
      <c r="D26" s="62">
        <f>1.83*E5</f>
        <v>11020.776874435411</v>
      </c>
      <c r="H26" t="s">
        <v>294</v>
      </c>
      <c r="I26" s="62">
        <f>(I25+I22)*0.15</f>
        <v>20.818240503053666</v>
      </c>
    </row>
    <row r="27" spans="3:9" x14ac:dyDescent="0.25">
      <c r="C27" t="s">
        <v>280</v>
      </c>
      <c r="D27">
        <f>(48/60)*D26/0.8</f>
        <v>11020.776874435411</v>
      </c>
    </row>
    <row r="28" spans="3:9" x14ac:dyDescent="0.25">
      <c r="C28" t="s">
        <v>281</v>
      </c>
      <c r="D28" s="1" t="s">
        <v>287</v>
      </c>
      <c r="E28" s="62">
        <f>(1/175)*D27</f>
        <v>62.975867853916633</v>
      </c>
      <c r="G28" s="112" t="s">
        <v>313</v>
      </c>
      <c r="H28" s="112">
        <v>0.27160000000000001</v>
      </c>
      <c r="I28" s="113">
        <f>I4*0.2716</f>
        <v>1605.1554133930663</v>
      </c>
    </row>
    <row r="29" spans="3:9" x14ac:dyDescent="0.25">
      <c r="C29" t="s">
        <v>282</v>
      </c>
      <c r="D29">
        <f>D26+(D27/1.08)</f>
        <v>21225.199906320049</v>
      </c>
      <c r="G29" t="s">
        <v>277</v>
      </c>
    </row>
    <row r="30" spans="3:9" x14ac:dyDescent="0.25">
      <c r="C30" t="s">
        <v>283</v>
      </c>
      <c r="D30" s="1" t="s">
        <v>285</v>
      </c>
      <c r="E30">
        <f>D29/52</f>
        <v>408.17692127538555</v>
      </c>
      <c r="G30" t="s">
        <v>272</v>
      </c>
      <c r="H30" s="62">
        <f>1.83*I4</f>
        <v>10815.296047530603</v>
      </c>
    </row>
    <row r="31" spans="3:9" x14ac:dyDescent="0.25">
      <c r="C31" t="s">
        <v>284</v>
      </c>
      <c r="D31" s="1" t="s">
        <v>286</v>
      </c>
      <c r="E31">
        <f>D29/409</f>
        <v>51.895354294181047</v>
      </c>
      <c r="G31" t="s">
        <v>280</v>
      </c>
      <c r="H31">
        <f>(48/60)*H30</f>
        <v>8652.2368380244825</v>
      </c>
    </row>
    <row r="32" spans="3:9" x14ac:dyDescent="0.25">
      <c r="C32" s="62" t="s">
        <v>273</v>
      </c>
      <c r="D32" s="62" t="s">
        <v>274</v>
      </c>
      <c r="E32" s="62">
        <f>0.033*E10+123</f>
        <v>2081.1683491022313</v>
      </c>
      <c r="G32" t="s">
        <v>281</v>
      </c>
      <c r="H32" s="1" t="s">
        <v>287</v>
      </c>
      <c r="I32" s="62">
        <f>(1/175)*H31/0.8</f>
        <v>61.801691700174871</v>
      </c>
    </row>
    <row r="33" spans="3:9" x14ac:dyDescent="0.25">
      <c r="C33" t="s">
        <v>275</v>
      </c>
      <c r="E33" s="62">
        <f>E5-E21-E22-E23-E24-E28-E32-E30</f>
        <v>1159.048390522511</v>
      </c>
      <c r="G33" t="s">
        <v>282</v>
      </c>
      <c r="H33">
        <f>H30+(H31/1.08)</f>
        <v>18826.626453108827</v>
      </c>
    </row>
    <row r="34" spans="3:9" x14ac:dyDescent="0.25">
      <c r="G34" t="s">
        <v>283</v>
      </c>
      <c r="H34" s="1" t="s">
        <v>285</v>
      </c>
      <c r="I34" s="62">
        <f>H33/52</f>
        <v>362.0505087136313</v>
      </c>
    </row>
    <row r="35" spans="3:9" x14ac:dyDescent="0.25">
      <c r="G35" t="s">
        <v>284</v>
      </c>
      <c r="H35" s="1" t="s">
        <v>286</v>
      </c>
      <c r="I35" s="62">
        <f>H33/409</f>
        <v>46.030871523493467</v>
      </c>
    </row>
    <row r="36" spans="3:9" x14ac:dyDescent="0.25">
      <c r="G36" s="112" t="s">
        <v>314</v>
      </c>
      <c r="H36" s="112"/>
      <c r="I36" s="114">
        <f>SUM(I32+I34)</f>
        <v>423.85220041380614</v>
      </c>
    </row>
    <row r="37" spans="3:9" x14ac:dyDescent="0.25">
      <c r="G37" s="114" t="s">
        <v>273</v>
      </c>
      <c r="H37" s="114"/>
      <c r="I37" s="114">
        <f>I4*0.031</f>
        <v>183.20993304560037</v>
      </c>
    </row>
    <row r="38" spans="3:9" x14ac:dyDescent="0.25">
      <c r="G38" s="112" t="s">
        <v>323</v>
      </c>
      <c r="H38" s="112"/>
      <c r="I38" s="118">
        <f>0.1548*I4</f>
        <v>914.86766565996561</v>
      </c>
    </row>
    <row r="39" spans="3:9" x14ac:dyDescent="0.25">
      <c r="G39" s="112" t="s">
        <v>275</v>
      </c>
      <c r="H39" s="112"/>
      <c r="I39" s="114">
        <f>I4-I21-I28-I36-I37-I38</f>
        <v>950.81329721221471</v>
      </c>
    </row>
    <row r="41" spans="3:9" x14ac:dyDescent="0.25">
      <c r="G41" t="s">
        <v>288</v>
      </c>
      <c r="H41" s="32">
        <f>I21</f>
        <v>1832.0993304560036</v>
      </c>
      <c r="I41" s="111">
        <f>I21/$I$4</f>
        <v>0.31</v>
      </c>
    </row>
    <row r="42" spans="3:9" x14ac:dyDescent="0.25">
      <c r="G42" t="s">
        <v>290</v>
      </c>
      <c r="H42" s="32">
        <f>I28</f>
        <v>1605.1554133930663</v>
      </c>
      <c r="I42" s="111">
        <f>I28/$I$4</f>
        <v>0.27160000000000001</v>
      </c>
    </row>
    <row r="43" spans="3:9" x14ac:dyDescent="0.25">
      <c r="G43" t="s">
        <v>324</v>
      </c>
      <c r="H43" s="32">
        <f>I38</f>
        <v>914.86766565996561</v>
      </c>
      <c r="I43" s="119">
        <f>I38/I4</f>
        <v>0.15479999999999999</v>
      </c>
    </row>
    <row r="44" spans="3:9" x14ac:dyDescent="0.25">
      <c r="G44" t="s">
        <v>289</v>
      </c>
      <c r="H44" s="32">
        <f>I36</f>
        <v>423.85220041380614</v>
      </c>
      <c r="I44" s="111">
        <f>I36/$I$4</f>
        <v>7.1717826617826622E-2</v>
      </c>
    </row>
    <row r="45" spans="3:9" x14ac:dyDescent="0.25">
      <c r="G45" t="s">
        <v>291</v>
      </c>
      <c r="H45" s="32">
        <f>I37</f>
        <v>183.20993304560037</v>
      </c>
      <c r="I45" s="111">
        <f>I37/$I$4</f>
        <v>3.1000000000000003E-2</v>
      </c>
    </row>
    <row r="46" spans="3:9" x14ac:dyDescent="0.25">
      <c r="G46" t="s">
        <v>292</v>
      </c>
      <c r="H46" s="32">
        <f>I39</f>
        <v>950.81329721221471</v>
      </c>
      <c r="I46" s="111">
        <f>I39/$I$4</f>
        <v>0.16088217338217339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Sizing and Cost Calcs</vt:lpstr>
      <vt:lpstr>Transfer Vehicle Data</vt:lpstr>
      <vt:lpstr>Sizing Results</vt:lpstr>
      <vt:lpstr>Pairwise Comparison</vt:lpstr>
      <vt:lpstr>Trade off Results</vt:lpstr>
      <vt:lpstr>Launcher Database</vt:lpstr>
      <vt:lpstr>Lander SS DB</vt:lpstr>
      <vt:lpstr>Subsystem Sizing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2023-01-28T05:45:55Z</dcterms:created>
  <dcterms:modified xsi:type="dcterms:W3CDTF">2023-04-01T10:33:33Z</dcterms:modified>
</cp:coreProperties>
</file>