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ORLA_Lander_Mission_Architecture\"/>
    </mc:Choice>
  </mc:AlternateContent>
  <xr:revisionPtr revIDLastSave="0" documentId="13_ncr:1_{2BA07116-2A07-4180-82C9-0189957CD418}" xr6:coauthVersionLast="47" xr6:coauthVersionMax="47" xr10:uidLastSave="{00000000-0000-0000-0000-000000000000}"/>
  <bookViews>
    <workbookView minimized="1" xWindow="3810" yWindow="3810" windowWidth="21600" windowHeight="11385" xr2:uid="{980FDF1D-6D6A-4B67-B4CD-9FBE1C3FED1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F27" i="1"/>
  <c r="E27" i="1"/>
  <c r="M25" i="1"/>
  <c r="M27" i="1" s="1"/>
  <c r="L25" i="1"/>
  <c r="L27" i="1" s="1"/>
  <c r="K25" i="1"/>
  <c r="K27" i="1" s="1"/>
  <c r="J25" i="1"/>
  <c r="J27" i="1" s="1"/>
  <c r="C25" i="1"/>
  <c r="I24" i="1"/>
  <c r="G24" i="1"/>
  <c r="G27" i="1" s="1"/>
  <c r="I23" i="1"/>
  <c r="I22" i="1"/>
  <c r="AD21" i="1"/>
  <c r="Y21" i="1" s="1"/>
  <c r="D21" i="1"/>
  <c r="D27" i="1" s="1"/>
  <c r="AD20" i="1"/>
  <c r="Y20" i="1"/>
  <c r="AD19" i="1"/>
  <c r="Y19" i="1" s="1"/>
  <c r="AD18" i="1"/>
  <c r="Y18" i="1"/>
  <c r="AC17" i="1"/>
  <c r="AB17" i="1"/>
  <c r="AA17" i="1"/>
  <c r="Y16" i="1"/>
  <c r="AC15" i="1"/>
  <c r="Y15" i="1" s="1"/>
  <c r="Y14" i="1"/>
  <c r="Y13" i="1"/>
  <c r="Z12" i="1"/>
  <c r="AD11" i="1"/>
  <c r="Y17" i="1" l="1"/>
  <c r="I27" i="1"/>
  <c r="Y11" i="1"/>
  <c r="AC22" i="1" s="1"/>
  <c r="C27" i="1"/>
  <c r="N25" i="1" s="1"/>
  <c r="Y12" i="1"/>
  <c r="N21" i="1" l="1"/>
  <c r="AA22" i="1"/>
  <c r="Y22" i="1"/>
  <c r="AE22" i="1"/>
  <c r="N23" i="1"/>
  <c r="N26" i="1"/>
  <c r="N24" i="1"/>
  <c r="AB22" i="1"/>
  <c r="Z22" i="1"/>
  <c r="N22" i="1"/>
  <c r="AD22" i="1"/>
</calcChain>
</file>

<file path=xl/sharedStrings.xml><?xml version="1.0" encoding="utf-8"?>
<sst xmlns="http://schemas.openxmlformats.org/spreadsheetml/2006/main" count="44" uniqueCount="33">
  <si>
    <t>9508-HLR-1</t>
  </si>
  <si>
    <t>9205-FLO-1</t>
  </si>
  <si>
    <t>Apollo J-series</t>
  </si>
  <si>
    <t>0503-CE&amp;R-8</t>
  </si>
  <si>
    <t>0507-ESAS-D</t>
  </si>
  <si>
    <t>0507-ESAS-F</t>
  </si>
  <si>
    <t>0507-ESAS-H</t>
  </si>
  <si>
    <t>0507-ESAS-J</t>
  </si>
  <si>
    <t>Avgs</t>
  </si>
  <si>
    <t>Structure</t>
  </si>
  <si>
    <t>Propulsion</t>
  </si>
  <si>
    <t>Power</t>
  </si>
  <si>
    <t>Avionics</t>
  </si>
  <si>
    <t>Other</t>
  </si>
  <si>
    <t>Subsystem sizing</t>
  </si>
  <si>
    <t>Spacecraft</t>
  </si>
  <si>
    <t>dry mass [kg]</t>
  </si>
  <si>
    <t>Structure [kg]</t>
  </si>
  <si>
    <t>Propulsion [kg]</t>
  </si>
  <si>
    <t>Power [kg]</t>
  </si>
  <si>
    <t>Avionics [kg]</t>
  </si>
  <si>
    <t>Thermal [kg]</t>
  </si>
  <si>
    <t>Other [kg]</t>
  </si>
  <si>
    <t>8801-EE-1</t>
  </si>
  <si>
    <t>Robotic Lunar Lander</t>
  </si>
  <si>
    <t>Low Cost Lunar Lander</t>
  </si>
  <si>
    <t>Robotic Lunar Lander Concept</t>
  </si>
  <si>
    <t>Low Cost Lunar Lander Concpet</t>
  </si>
  <si>
    <t>Thermal Protection</t>
  </si>
  <si>
    <t>total</t>
  </si>
  <si>
    <t>is thisan exponential relation?</t>
  </si>
  <si>
    <t>I don’t think so. See sheet 9</t>
  </si>
  <si>
    <t>Power depends not on weight but on application. Use rule of thumb and parametric sizing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</si>
</sst>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3" borderId="4" xfId="0" applyFont="1" applyFill="1" applyBorder="1"/>
    <xf numFmtId="0" fontId="1" fillId="3" borderId="5" xfId="0" applyFont="1" applyFill="1" applyBorder="1" applyAlignment="1">
      <alignment horizontal="center"/>
    </xf>
    <xf numFmtId="3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1" fontId="1" fillId="4" borderId="9" xfId="0" applyNumberFormat="1" applyFont="1" applyFill="1" applyBorder="1" applyAlignment="1">
      <alignment horizontal="center"/>
    </xf>
    <xf numFmtId="1" fontId="1" fillId="4" borderId="10" xfId="0" applyNumberFormat="1" applyFont="1" applyFill="1" applyBorder="1" applyAlignment="1">
      <alignment horizontal="center"/>
    </xf>
    <xf numFmtId="1" fontId="1" fillId="4" borderId="11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0347550306211727E-2"/>
          <c:y val="3.2407407407407406E-2"/>
          <c:w val="0.56597156605424326"/>
          <c:h val="0.943285943423738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2-4E76-8B6A-0A5194D32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2-4E76-8B6A-0A5194D32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42-4E76-8B6A-0A5194D320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42-4E76-8B6A-0A5194D320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42-4E76-8B6A-0A5194D320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42-4E76-8B6A-0A5194D32021}"/>
              </c:ext>
            </c:extLst>
          </c:dPt>
          <c:dLbls>
            <c:dLbl>
              <c:idx val="0"/>
              <c:layout>
                <c:manualLayout>
                  <c:x val="-8.1741511180335943E-3"/>
                  <c:y val="1.3294692330125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42-4E76-8B6A-0A5194D32021}"/>
                </c:ext>
              </c:extLst>
            </c:dLbl>
            <c:dLbl>
              <c:idx val="1"/>
              <c:layout>
                <c:manualLayout>
                  <c:x val="6.1088851138684931E-2"/>
                  <c:y val="-6.671296296296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42-4E76-8B6A-0A5194D32021}"/>
                </c:ext>
              </c:extLst>
            </c:dLbl>
            <c:dLbl>
              <c:idx val="2"/>
              <c:layout>
                <c:manualLayout>
                  <c:x val="1.4151920450049887E-3"/>
                  <c:y val="4.38903470399533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42-4E76-8B6A-0A5194D32021}"/>
                </c:ext>
              </c:extLst>
            </c:dLbl>
            <c:dLbl>
              <c:idx val="3"/>
              <c:layout>
                <c:manualLayout>
                  <c:x val="-3.0265251510906647E-2"/>
                  <c:y val="3.126091759673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42-4E76-8B6A-0A5194D32021}"/>
                </c:ext>
              </c:extLst>
            </c:dLbl>
            <c:dLbl>
              <c:idx val="4"/>
              <c:layout>
                <c:manualLayout>
                  <c:x val="-3.6169388247646959E-3"/>
                  <c:y val="-2.0894283912669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42-4E76-8B6A-0A5194D32021}"/>
                </c:ext>
              </c:extLst>
            </c:dLbl>
            <c:dLbl>
              <c:idx val="5"/>
              <c:layout>
                <c:manualLayout>
                  <c:x val="-8.251811346293085E-2"/>
                  <c:y val="1.1574074074074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42-4E76-8B6A-0A5194D320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[1]Sheet7!$B$33:$B$38</c:f>
              <c:strCache>
                <c:ptCount val="6"/>
                <c:pt idx="0">
                  <c:v>Structure</c:v>
                </c:pt>
                <c:pt idx="1">
                  <c:v>Propulsion</c:v>
                </c:pt>
                <c:pt idx="2">
                  <c:v>Power</c:v>
                </c:pt>
                <c:pt idx="3">
                  <c:v>Avionics</c:v>
                </c:pt>
                <c:pt idx="4">
                  <c:v>Thermal Protection</c:v>
                </c:pt>
                <c:pt idx="5">
                  <c:v>Other</c:v>
                </c:pt>
              </c:strCache>
            </c:strRef>
          </c:cat>
          <c:val>
            <c:numRef>
              <c:f>[1]Sheet7!$N$33:$N$38</c:f>
              <c:numCache>
                <c:formatCode>General</c:formatCode>
                <c:ptCount val="6"/>
                <c:pt idx="0">
                  <c:v>0.2756065027505068</c:v>
                </c:pt>
                <c:pt idx="1">
                  <c:v>0.33656889746635571</c:v>
                </c:pt>
                <c:pt idx="2">
                  <c:v>7.5969434172969447E-2</c:v>
                </c:pt>
                <c:pt idx="3">
                  <c:v>8.8006031540638602E-2</c:v>
                </c:pt>
                <c:pt idx="4">
                  <c:v>0.12981427818868393</c:v>
                </c:pt>
                <c:pt idx="5">
                  <c:v>9.4034855880845494E-2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42-4E76-8B6A-0A5194D3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83370785926694"/>
          <c:y val="5.439692059974547E-2"/>
          <c:w val="0.35428679728240364"/>
          <c:h val="0.91812819090174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Structure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843963254593176"/>
                  <c:y val="-0.19128280839895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[1]Sheet7!$C$39:$M$39</c:f>
              <c:numCache>
                <c:formatCode>General</c:formatCode>
                <c:ptCount val="11"/>
                <c:pt idx="0">
                  <c:v>2027</c:v>
                </c:pt>
                <c:pt idx="1">
                  <c:v>1200.7</c:v>
                </c:pt>
                <c:pt idx="2">
                  <c:v>9823</c:v>
                </c:pt>
                <c:pt idx="3">
                  <c:v>9320</c:v>
                </c:pt>
                <c:pt idx="4">
                  <c:v>5858</c:v>
                </c:pt>
                <c:pt idx="5">
                  <c:v>3485.29</c:v>
                </c:pt>
                <c:pt idx="6">
                  <c:v>353.70000000000005</c:v>
                </c:pt>
                <c:pt idx="7">
                  <c:v>7542</c:v>
                </c:pt>
                <c:pt idx="8">
                  <c:v>7412</c:v>
                </c:pt>
                <c:pt idx="9">
                  <c:v>5970</c:v>
                </c:pt>
                <c:pt idx="10">
                  <c:v>5912</c:v>
                </c:pt>
              </c:numCache>
            </c:numRef>
          </c:xVal>
          <c:yVal>
            <c:numRef>
              <c:f>[1]Sheet7!$C$33:$M$33</c:f>
              <c:numCache>
                <c:formatCode>General</c:formatCode>
                <c:ptCount val="11"/>
                <c:pt idx="0">
                  <c:v>460</c:v>
                </c:pt>
                <c:pt idx="1">
                  <c:v>532.9</c:v>
                </c:pt>
                <c:pt idx="2">
                  <c:v>1681</c:v>
                </c:pt>
                <c:pt idx="3">
                  <c:v>1770</c:v>
                </c:pt>
                <c:pt idx="4">
                  <c:v>2822</c:v>
                </c:pt>
                <c:pt idx="5">
                  <c:v>1186.3399999999999</c:v>
                </c:pt>
                <c:pt idx="6">
                  <c:v>45</c:v>
                </c:pt>
                <c:pt idx="7">
                  <c:v>2015</c:v>
                </c:pt>
                <c:pt idx="8">
                  <c:v>1985</c:v>
                </c:pt>
                <c:pt idx="9">
                  <c:v>1877</c:v>
                </c:pt>
                <c:pt idx="10">
                  <c:v>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4-4CC1-B8D1-D1ED5C16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Propulsion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129934597061522"/>
                  <c:y val="-0.32919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[1]Sheet7!$C$39:$M$39</c:f>
              <c:numCache>
                <c:formatCode>General</c:formatCode>
                <c:ptCount val="11"/>
                <c:pt idx="0">
                  <c:v>2027</c:v>
                </c:pt>
                <c:pt idx="1">
                  <c:v>1200.7</c:v>
                </c:pt>
                <c:pt idx="2">
                  <c:v>9823</c:v>
                </c:pt>
                <c:pt idx="3">
                  <c:v>9320</c:v>
                </c:pt>
                <c:pt idx="4">
                  <c:v>5858</c:v>
                </c:pt>
                <c:pt idx="5">
                  <c:v>3485.29</c:v>
                </c:pt>
                <c:pt idx="6">
                  <c:v>353.70000000000005</c:v>
                </c:pt>
                <c:pt idx="7">
                  <c:v>7542</c:v>
                </c:pt>
                <c:pt idx="8">
                  <c:v>7412</c:v>
                </c:pt>
                <c:pt idx="9">
                  <c:v>5970</c:v>
                </c:pt>
                <c:pt idx="10">
                  <c:v>5912</c:v>
                </c:pt>
              </c:numCache>
            </c:numRef>
          </c:xVal>
          <c:yVal>
            <c:numRef>
              <c:f>[1]Sheet7!$C$34:$M$34</c:f>
              <c:numCache>
                <c:formatCode>General</c:formatCode>
                <c:ptCount val="11"/>
                <c:pt idx="0">
                  <c:v>495</c:v>
                </c:pt>
                <c:pt idx="1">
                  <c:v>252.5</c:v>
                </c:pt>
                <c:pt idx="2">
                  <c:v>4258</c:v>
                </c:pt>
                <c:pt idx="3">
                  <c:v>4969</c:v>
                </c:pt>
                <c:pt idx="4">
                  <c:v>1749</c:v>
                </c:pt>
                <c:pt idx="5">
                  <c:v>918.21</c:v>
                </c:pt>
                <c:pt idx="6">
                  <c:v>191.44</c:v>
                </c:pt>
                <c:pt idx="7">
                  <c:v>2425</c:v>
                </c:pt>
                <c:pt idx="8">
                  <c:v>2347</c:v>
                </c:pt>
                <c:pt idx="9">
                  <c:v>1125</c:v>
                </c:pt>
                <c:pt idx="10">
                  <c:v>1095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Structure</c:v>
                </c15:tx>
              </c15:filteredSeriesTitle>
            </c:ext>
            <c:ext xmlns:c16="http://schemas.microsoft.com/office/drawing/2014/chart" uri="{C3380CC4-5D6E-409C-BE32-E72D297353CC}">
              <c16:uniqueId val="{00000001-57D9-4CBE-A7F2-B3BEABA4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Propulsion ss weight</a:t>
                </a:r>
              </a:p>
            </c:rich>
          </c:tx>
          <c:layout>
            <c:manualLayout>
              <c:xMode val="edge"/>
              <c:yMode val="edge"/>
              <c:x val="3.0609141638160944E-2"/>
              <c:y val="0.28970290172061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0244969378829"/>
          <c:y val="0.17171296296296298"/>
          <c:w val="0.7992758977001732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Structure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129934597061522"/>
                  <c:y val="-0.32919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[1]Sheet7!$H$39:$M$39</c:f>
              <c:numCache>
                <c:formatCode>General</c:formatCode>
                <c:ptCount val="6"/>
                <c:pt idx="0">
                  <c:v>3485.29</c:v>
                </c:pt>
                <c:pt idx="1">
                  <c:v>353.70000000000005</c:v>
                </c:pt>
                <c:pt idx="2">
                  <c:v>7542</c:v>
                </c:pt>
                <c:pt idx="3">
                  <c:v>7412</c:v>
                </c:pt>
                <c:pt idx="4">
                  <c:v>5970</c:v>
                </c:pt>
                <c:pt idx="5">
                  <c:v>5912</c:v>
                </c:pt>
              </c:numCache>
            </c:numRef>
          </c:xVal>
          <c:yVal>
            <c:numRef>
              <c:f>[1]Sheet7!$H$35:$M$35</c:f>
              <c:numCache>
                <c:formatCode>General</c:formatCode>
                <c:ptCount val="6"/>
                <c:pt idx="0">
                  <c:v>663</c:v>
                </c:pt>
                <c:pt idx="1">
                  <c:v>41.18</c:v>
                </c:pt>
                <c:pt idx="2">
                  <c:v>553</c:v>
                </c:pt>
                <c:pt idx="3">
                  <c:v>553</c:v>
                </c:pt>
                <c:pt idx="4">
                  <c:v>553</c:v>
                </c:pt>
                <c:pt idx="5">
                  <c:v>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8-411C-89B4-EA395110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ss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Avionics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1011008773891"/>
          <c:y val="0.17171296296296298"/>
          <c:w val="0.7992758977001732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[1]Sheet7!$B$36</c:f>
              <c:strCache>
                <c:ptCount val="1"/>
                <c:pt idx="0">
                  <c:v>Avionics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29934597061522"/>
                  <c:y val="-0.32919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[1]Sheet7!$C$39:$M$39</c:f>
              <c:numCache>
                <c:formatCode>General</c:formatCode>
                <c:ptCount val="11"/>
                <c:pt idx="0">
                  <c:v>2027</c:v>
                </c:pt>
                <c:pt idx="1">
                  <c:v>1200.7</c:v>
                </c:pt>
                <c:pt idx="2">
                  <c:v>9823</c:v>
                </c:pt>
                <c:pt idx="3">
                  <c:v>9320</c:v>
                </c:pt>
                <c:pt idx="4">
                  <c:v>5858</c:v>
                </c:pt>
                <c:pt idx="5">
                  <c:v>3485.29</c:v>
                </c:pt>
                <c:pt idx="6">
                  <c:v>353.70000000000005</c:v>
                </c:pt>
                <c:pt idx="7">
                  <c:v>7542</c:v>
                </c:pt>
                <c:pt idx="8">
                  <c:v>7412</c:v>
                </c:pt>
                <c:pt idx="9">
                  <c:v>5970</c:v>
                </c:pt>
                <c:pt idx="10">
                  <c:v>5912</c:v>
                </c:pt>
              </c:numCache>
            </c:numRef>
          </c:xVal>
          <c:yVal>
            <c:numRef>
              <c:f>[1]Sheet7!$C$36:$M$36</c:f>
              <c:numCache>
                <c:formatCode>General</c:formatCode>
                <c:ptCount val="11"/>
                <c:pt idx="0">
                  <c:v>29</c:v>
                </c:pt>
                <c:pt idx="1">
                  <c:v>120.1</c:v>
                </c:pt>
                <c:pt idx="2">
                  <c:v>934</c:v>
                </c:pt>
                <c:pt idx="3">
                  <c:v>307</c:v>
                </c:pt>
                <c:pt idx="4">
                  <c:v>1083</c:v>
                </c:pt>
                <c:pt idx="5">
                  <c:v>258.7</c:v>
                </c:pt>
                <c:pt idx="6">
                  <c:v>76.080000000000013</c:v>
                </c:pt>
                <c:pt idx="7">
                  <c:v>594</c:v>
                </c:pt>
                <c:pt idx="8">
                  <c:v>594</c:v>
                </c:pt>
                <c:pt idx="9">
                  <c:v>594</c:v>
                </c:pt>
                <c:pt idx="10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C-4B28-A136-5F7793CF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AVionics ss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1020630558407"/>
          <c:y val="0.19486111111111112"/>
          <c:w val="0.7992758977001732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[1]Sheet7!$B$37</c:f>
              <c:strCache>
                <c:ptCount val="1"/>
                <c:pt idx="0">
                  <c:v>Thermal Protection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312452633251885"/>
                  <c:y val="-0.37924139690871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[1]Sheet7!$C$39:$M$39</c:f>
              <c:numCache>
                <c:formatCode>General</c:formatCode>
                <c:ptCount val="11"/>
                <c:pt idx="0">
                  <c:v>2027</c:v>
                </c:pt>
                <c:pt idx="1">
                  <c:v>1200.7</c:v>
                </c:pt>
                <c:pt idx="2">
                  <c:v>9823</c:v>
                </c:pt>
                <c:pt idx="3">
                  <c:v>9320</c:v>
                </c:pt>
                <c:pt idx="4">
                  <c:v>5858</c:v>
                </c:pt>
                <c:pt idx="5">
                  <c:v>3485.29</c:v>
                </c:pt>
                <c:pt idx="6">
                  <c:v>353.70000000000005</c:v>
                </c:pt>
                <c:pt idx="7">
                  <c:v>7542</c:v>
                </c:pt>
                <c:pt idx="8">
                  <c:v>7412</c:v>
                </c:pt>
                <c:pt idx="9">
                  <c:v>5970</c:v>
                </c:pt>
                <c:pt idx="10">
                  <c:v>5912</c:v>
                </c:pt>
              </c:numCache>
            </c:numRef>
          </c:xVal>
          <c:yVal>
            <c:numRef>
              <c:f>[1]Sheet7!$C$37:$M$37</c:f>
              <c:numCache>
                <c:formatCode>General</c:formatCode>
                <c:ptCount val="11"/>
                <c:pt idx="0">
                  <c:v>404</c:v>
                </c:pt>
                <c:pt idx="1">
                  <c:v>113.5</c:v>
                </c:pt>
                <c:pt idx="2">
                  <c:v>2017</c:v>
                </c:pt>
                <c:pt idx="3">
                  <c:v>420</c:v>
                </c:pt>
                <c:pt idx="4">
                  <c:v>0</c:v>
                </c:pt>
                <c:pt idx="5">
                  <c:v>459.04</c:v>
                </c:pt>
                <c:pt idx="6">
                  <c:v>0</c:v>
                </c:pt>
                <c:pt idx="7">
                  <c:v>1072</c:v>
                </c:pt>
                <c:pt idx="8">
                  <c:v>1066</c:v>
                </c:pt>
                <c:pt idx="9">
                  <c:v>1049</c:v>
                </c:pt>
                <c:pt idx="1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7-43AC-98F5-107A165A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Thermal Protection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Propulsion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7957567804024602E-2"/>
                  <c:y val="-0.29297608632254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([1]Sheet7!$C$39:$D$39,[1]Sheet7!$G$39:$M$39)</c:f>
              <c:numCache>
                <c:formatCode>General</c:formatCode>
                <c:ptCount val="9"/>
                <c:pt idx="0">
                  <c:v>2027</c:v>
                </c:pt>
                <c:pt idx="1">
                  <c:v>1200.7</c:v>
                </c:pt>
                <c:pt idx="2">
                  <c:v>5858</c:v>
                </c:pt>
                <c:pt idx="3">
                  <c:v>3485.29</c:v>
                </c:pt>
                <c:pt idx="4">
                  <c:v>353.70000000000005</c:v>
                </c:pt>
                <c:pt idx="5">
                  <c:v>7542</c:v>
                </c:pt>
                <c:pt idx="6">
                  <c:v>7412</c:v>
                </c:pt>
                <c:pt idx="7">
                  <c:v>5970</c:v>
                </c:pt>
                <c:pt idx="8">
                  <c:v>5912</c:v>
                </c:pt>
              </c:numCache>
            </c:numRef>
          </c:xVal>
          <c:yVal>
            <c:numRef>
              <c:f>([1]Sheet7!$C$34:$D$34,[1]Sheet7!$G$34:$M$34)</c:f>
              <c:numCache>
                <c:formatCode>General</c:formatCode>
                <c:ptCount val="9"/>
                <c:pt idx="0">
                  <c:v>495</c:v>
                </c:pt>
                <c:pt idx="1">
                  <c:v>252.5</c:v>
                </c:pt>
                <c:pt idx="2">
                  <c:v>1749</c:v>
                </c:pt>
                <c:pt idx="3">
                  <c:v>918.21</c:v>
                </c:pt>
                <c:pt idx="4">
                  <c:v>191.44</c:v>
                </c:pt>
                <c:pt idx="5">
                  <c:v>2425</c:v>
                </c:pt>
                <c:pt idx="6">
                  <c:v>2347</c:v>
                </c:pt>
                <c:pt idx="7">
                  <c:v>1125</c:v>
                </c:pt>
                <c:pt idx="8">
                  <c:v>1095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Structure</c:v>
                </c15:tx>
              </c15:filteredSeriesTitle>
            </c:ext>
            <c:ext xmlns:c16="http://schemas.microsoft.com/office/drawing/2014/chart" uri="{C3380CC4-5D6E-409C-BE32-E72D297353CC}">
              <c16:uniqueId val="{00000001-30A4-46E5-9DA8-594DF356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Propulsion ss weight</a:t>
                </a:r>
              </a:p>
            </c:rich>
          </c:tx>
          <c:layout>
            <c:manualLayout>
              <c:xMode val="edge"/>
              <c:yMode val="edge"/>
              <c:x val="3.0609141638160944E-2"/>
              <c:y val="0.28970290172061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Structure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4624234470691165E-2"/>
                  <c:y val="-0.21249453193350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([1]Sheet7!$C$39:$D$39,[1]Sheet7!$G$39:$M$39)</c:f>
              <c:numCache>
                <c:formatCode>General</c:formatCode>
                <c:ptCount val="9"/>
                <c:pt idx="0">
                  <c:v>2027</c:v>
                </c:pt>
                <c:pt idx="1">
                  <c:v>1200.7</c:v>
                </c:pt>
                <c:pt idx="2">
                  <c:v>5858</c:v>
                </c:pt>
                <c:pt idx="3">
                  <c:v>3485.29</c:v>
                </c:pt>
                <c:pt idx="4">
                  <c:v>353.70000000000005</c:v>
                </c:pt>
                <c:pt idx="5">
                  <c:v>7542</c:v>
                </c:pt>
                <c:pt idx="6">
                  <c:v>7412</c:v>
                </c:pt>
                <c:pt idx="7">
                  <c:v>5970</c:v>
                </c:pt>
                <c:pt idx="8">
                  <c:v>5912</c:v>
                </c:pt>
              </c:numCache>
            </c:numRef>
          </c:xVal>
          <c:yVal>
            <c:numRef>
              <c:f>([1]Sheet7!$C$33:$D$33,[1]Sheet7!$G$33:$M$33)</c:f>
              <c:numCache>
                <c:formatCode>General</c:formatCode>
                <c:ptCount val="9"/>
                <c:pt idx="0">
                  <c:v>460</c:v>
                </c:pt>
                <c:pt idx="1">
                  <c:v>532.9</c:v>
                </c:pt>
                <c:pt idx="2">
                  <c:v>2822</c:v>
                </c:pt>
                <c:pt idx="3">
                  <c:v>1186.3399999999999</c:v>
                </c:pt>
                <c:pt idx="4">
                  <c:v>45</c:v>
                </c:pt>
                <c:pt idx="5">
                  <c:v>2015</c:v>
                </c:pt>
                <c:pt idx="6">
                  <c:v>1985</c:v>
                </c:pt>
                <c:pt idx="7">
                  <c:v>1877</c:v>
                </c:pt>
                <c:pt idx="8">
                  <c:v>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F-4D2E-8DC8-3643FE37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1020630558407"/>
          <c:y val="0.19486111111111112"/>
          <c:w val="0.7992758977001732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[1]Sheet7!$B$37</c:f>
              <c:strCache>
                <c:ptCount val="1"/>
                <c:pt idx="0">
                  <c:v>Thermal Protection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6122557451952446E-2"/>
                  <c:y val="-0.2082115777194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([1]Sheet7!$C$39:$D$39,[1]Sheet7!$H$39:$M$39)</c:f>
              <c:numCache>
                <c:formatCode>General</c:formatCode>
                <c:ptCount val="8"/>
                <c:pt idx="0">
                  <c:v>2027</c:v>
                </c:pt>
                <c:pt idx="1">
                  <c:v>1200.7</c:v>
                </c:pt>
                <c:pt idx="2">
                  <c:v>3485.29</c:v>
                </c:pt>
                <c:pt idx="3">
                  <c:v>353.70000000000005</c:v>
                </c:pt>
                <c:pt idx="4">
                  <c:v>7542</c:v>
                </c:pt>
                <c:pt idx="5">
                  <c:v>7412</c:v>
                </c:pt>
                <c:pt idx="6">
                  <c:v>5970</c:v>
                </c:pt>
                <c:pt idx="7">
                  <c:v>5912</c:v>
                </c:pt>
              </c:numCache>
            </c:numRef>
          </c:xVal>
          <c:yVal>
            <c:numRef>
              <c:f>([1]Sheet7!$C$37:$D$37,[1]Sheet7!$H$37:$M$37)</c:f>
              <c:numCache>
                <c:formatCode>General</c:formatCode>
                <c:ptCount val="8"/>
                <c:pt idx="0">
                  <c:v>404</c:v>
                </c:pt>
                <c:pt idx="1">
                  <c:v>113.5</c:v>
                </c:pt>
                <c:pt idx="2">
                  <c:v>459.04</c:v>
                </c:pt>
                <c:pt idx="3">
                  <c:v>0</c:v>
                </c:pt>
                <c:pt idx="4">
                  <c:v>1072</c:v>
                </c:pt>
                <c:pt idx="5">
                  <c:v>1066</c:v>
                </c:pt>
                <c:pt idx="6">
                  <c:v>1049</c:v>
                </c:pt>
                <c:pt idx="7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C-4C3F-83BA-B7248BB4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Thermal Protection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459840</xdr:colOff>
      <xdr:row>29</xdr:row>
      <xdr:rowOff>108856</xdr:rowOff>
    </xdr:from>
    <xdr:to>
      <xdr:col>30</xdr:col>
      <xdr:colOff>523874</xdr:colOff>
      <xdr:row>45</xdr:row>
      <xdr:rowOff>97811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CBD7E4-9A62-46ED-9BA7-D716904A0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606237</xdr:colOff>
      <xdr:row>28</xdr:row>
      <xdr:rowOff>34738</xdr:rowOff>
    </xdr:from>
    <xdr:to>
      <xdr:col>8</xdr:col>
      <xdr:colOff>523875</xdr:colOff>
      <xdr:row>42</xdr:row>
      <xdr:rowOff>110938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3A60C0-B931-4249-93AB-9B0624DAB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598715</xdr:colOff>
      <xdr:row>44</xdr:row>
      <xdr:rowOff>112939</xdr:rowOff>
    </xdr:from>
    <xdr:to>
      <xdr:col>9</xdr:col>
      <xdr:colOff>47625</xdr:colOff>
      <xdr:row>58</xdr:row>
      <xdr:rowOff>189139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D80CFB-DAC5-499E-AB64-5F196DC88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608981</xdr:colOff>
      <xdr:row>64</xdr:row>
      <xdr:rowOff>43295</xdr:rowOff>
    </xdr:from>
    <xdr:to>
      <xdr:col>9</xdr:col>
      <xdr:colOff>261937</xdr:colOff>
      <xdr:row>78</xdr:row>
      <xdr:rowOff>119495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CE8C03-021C-407E-ACA6-3FE59D5E4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591293</xdr:colOff>
      <xdr:row>81</xdr:row>
      <xdr:rowOff>84115</xdr:rowOff>
    </xdr:from>
    <xdr:to>
      <xdr:col>9</xdr:col>
      <xdr:colOff>47625</xdr:colOff>
      <xdr:row>95</xdr:row>
      <xdr:rowOff>160315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F7D551-4EA8-4BBB-9C9A-716656E6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613063</xdr:colOff>
      <xdr:row>97</xdr:row>
      <xdr:rowOff>109970</xdr:rowOff>
    </xdr:from>
    <xdr:to>
      <xdr:col>9</xdr:col>
      <xdr:colOff>357186</xdr:colOff>
      <xdr:row>111</xdr:row>
      <xdr:rowOff>186170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A7E45B-7DCF-4475-999F-362B399FA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142875</xdr:colOff>
      <xdr:row>44</xdr:row>
      <xdr:rowOff>45460</xdr:rowOff>
    </xdr:from>
    <xdr:to>
      <xdr:col>17</xdr:col>
      <xdr:colOff>166687</xdr:colOff>
      <xdr:row>58</xdr:row>
      <xdr:rowOff>121660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D6DCCBB-4190-49DC-8069-A7BA75C9A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119062</xdr:colOff>
      <xdr:row>28</xdr:row>
      <xdr:rowOff>0</xdr:rowOff>
    </xdr:from>
    <xdr:to>
      <xdr:col>17</xdr:col>
      <xdr:colOff>71437</xdr:colOff>
      <xdr:row>42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064BC-52EE-4B28-BDDF-D045244AB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66675</xdr:colOff>
      <xdr:row>97</xdr:row>
      <xdr:rowOff>133350</xdr:rowOff>
    </xdr:from>
    <xdr:to>
      <xdr:col>17</xdr:col>
      <xdr:colOff>142875</xdr:colOff>
      <xdr:row>112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FCE92F-E669-4004-ACBA-041E32D73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all%20De%20Paor\Desktop\Supaero\Research%20Project\Sizing-Tool\sizing%20calculator%202.xlsx" TargetMode="External"/><Relationship Id="rId1" Type="http://schemas.openxmlformats.org/officeDocument/2006/relationships/externalLinkPath" Target="/Users/Conall%20De%20Paor/Desktop/Supaero/Research%20Project/Sizing-Tool/sizing%20calculato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Structure</v>
          </cell>
        </row>
        <row r="33">
          <cell r="B33" t="str">
            <v>Structure</v>
          </cell>
          <cell r="C33">
            <v>460</v>
          </cell>
          <cell r="D33">
            <v>532.9</v>
          </cell>
          <cell r="E33">
            <v>1681</v>
          </cell>
          <cell r="F33">
            <v>1770</v>
          </cell>
          <cell r="G33">
            <v>2822</v>
          </cell>
          <cell r="H33">
            <v>1186.3399999999999</v>
          </cell>
          <cell r="I33">
            <v>45</v>
          </cell>
          <cell r="J33">
            <v>2015</v>
          </cell>
          <cell r="K33">
            <v>1985</v>
          </cell>
          <cell r="L33">
            <v>1877</v>
          </cell>
          <cell r="M33">
            <v>1860</v>
          </cell>
          <cell r="N33">
            <v>0.2756065027505068</v>
          </cell>
        </row>
        <row r="34">
          <cell r="B34" t="str">
            <v>Propulsion</v>
          </cell>
          <cell r="C34">
            <v>495</v>
          </cell>
          <cell r="D34">
            <v>252.5</v>
          </cell>
          <cell r="E34">
            <v>4258</v>
          </cell>
          <cell r="F34">
            <v>4969</v>
          </cell>
          <cell r="G34">
            <v>1749</v>
          </cell>
          <cell r="H34">
            <v>918.21</v>
          </cell>
          <cell r="I34">
            <v>191.44</v>
          </cell>
          <cell r="J34">
            <v>2425</v>
          </cell>
          <cell r="K34">
            <v>2347</v>
          </cell>
          <cell r="L34">
            <v>1125</v>
          </cell>
          <cell r="M34">
            <v>1095</v>
          </cell>
          <cell r="N34">
            <v>0.33656889746635571</v>
          </cell>
        </row>
        <row r="35">
          <cell r="B35" t="str">
            <v>Power</v>
          </cell>
          <cell r="H35">
            <v>663</v>
          </cell>
          <cell r="I35">
            <v>41.18</v>
          </cell>
          <cell r="J35">
            <v>553</v>
          </cell>
          <cell r="K35">
            <v>553</v>
          </cell>
          <cell r="L35">
            <v>553</v>
          </cell>
          <cell r="M35">
            <v>553</v>
          </cell>
          <cell r="N35">
            <v>7.5969434172969447E-2</v>
          </cell>
        </row>
        <row r="36">
          <cell r="B36" t="str">
            <v>Avionics</v>
          </cell>
          <cell r="C36">
            <v>29</v>
          </cell>
          <cell r="D36">
            <v>120.1</v>
          </cell>
          <cell r="E36">
            <v>934</v>
          </cell>
          <cell r="F36">
            <v>307</v>
          </cell>
          <cell r="G36">
            <v>1083</v>
          </cell>
          <cell r="H36">
            <v>258.7</v>
          </cell>
          <cell r="I36">
            <v>76.080000000000013</v>
          </cell>
          <cell r="J36">
            <v>594</v>
          </cell>
          <cell r="K36">
            <v>594</v>
          </cell>
          <cell r="L36">
            <v>594</v>
          </cell>
          <cell r="M36">
            <v>594</v>
          </cell>
          <cell r="N36">
            <v>8.8006031540638602E-2</v>
          </cell>
        </row>
        <row r="37">
          <cell r="B37" t="str">
            <v>Thermal Protection</v>
          </cell>
          <cell r="C37">
            <v>404</v>
          </cell>
          <cell r="D37">
            <v>113.5</v>
          </cell>
          <cell r="E37">
            <v>2017</v>
          </cell>
          <cell r="F37">
            <v>420</v>
          </cell>
          <cell r="G37">
            <v>0</v>
          </cell>
          <cell r="H37">
            <v>459.04</v>
          </cell>
          <cell r="I37">
            <v>0</v>
          </cell>
          <cell r="J37">
            <v>1072</v>
          </cell>
          <cell r="K37">
            <v>1066</v>
          </cell>
          <cell r="L37">
            <v>1049</v>
          </cell>
          <cell r="M37">
            <v>1046</v>
          </cell>
          <cell r="N37">
            <v>0.12981427818868393</v>
          </cell>
        </row>
        <row r="38">
          <cell r="B38" t="str">
            <v>Other</v>
          </cell>
          <cell r="N38">
            <v>9.4034855880845494E-2</v>
          </cell>
        </row>
        <row r="39">
          <cell r="C39">
            <v>2027</v>
          </cell>
          <cell r="D39">
            <v>1200.7</v>
          </cell>
          <cell r="E39">
            <v>9823</v>
          </cell>
          <cell r="F39">
            <v>9320</v>
          </cell>
          <cell r="G39">
            <v>5858</v>
          </cell>
          <cell r="H39">
            <v>3485.29</v>
          </cell>
          <cell r="I39">
            <v>353.70000000000005</v>
          </cell>
          <cell r="J39">
            <v>7542</v>
          </cell>
          <cell r="K39">
            <v>7412</v>
          </cell>
          <cell r="L39">
            <v>5970</v>
          </cell>
          <cell r="M39">
            <v>5912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FB49-016A-4FAD-9C59-A85955BB90FC}">
  <dimension ref="A1:AE123"/>
  <sheetViews>
    <sheetView tabSelected="1" topLeftCell="A17" zoomScale="70" zoomScaleNormal="70" workbookViewId="0">
      <selection activeCell="N91" sqref="N91"/>
    </sheetView>
  </sheetViews>
  <sheetFormatPr defaultRowHeight="15" x14ac:dyDescent="0.25"/>
  <cols>
    <col min="2" max="2" width="19.42578125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9" t="s">
        <v>14</v>
      </c>
      <c r="Y9" s="30"/>
      <c r="Z9" s="30"/>
      <c r="AA9" s="30"/>
      <c r="AB9" s="30"/>
      <c r="AC9" s="30"/>
      <c r="AD9" s="30"/>
      <c r="AE9" s="31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7" t="s">
        <v>15</v>
      </c>
      <c r="Y10" s="8" t="s">
        <v>16</v>
      </c>
      <c r="Z10" s="9" t="s">
        <v>17</v>
      </c>
      <c r="AA10" s="10" t="s">
        <v>18</v>
      </c>
      <c r="AB10" s="10" t="s">
        <v>19</v>
      </c>
      <c r="AC10" s="10" t="s">
        <v>20</v>
      </c>
      <c r="AD10" s="11" t="s">
        <v>21</v>
      </c>
      <c r="AE10" s="12" t="s">
        <v>22</v>
      </c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3" t="s">
        <v>2</v>
      </c>
      <c r="Y11" s="14">
        <f t="shared" ref="Y11:Y21" si="0">SUM(Z11:AE11)</f>
        <v>2027</v>
      </c>
      <c r="Z11" s="15">
        <v>460</v>
      </c>
      <c r="AA11" s="15">
        <v>495</v>
      </c>
      <c r="AB11" s="15">
        <v>366</v>
      </c>
      <c r="AC11" s="15">
        <v>29</v>
      </c>
      <c r="AD11" s="16">
        <f>210+194</f>
        <v>404</v>
      </c>
      <c r="AE11" s="17">
        <v>273</v>
      </c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8" t="s">
        <v>0</v>
      </c>
      <c r="Y12" s="19">
        <f t="shared" si="0"/>
        <v>1200.7</v>
      </c>
      <c r="Z12" s="20">
        <f>404.8+28.8+99.3</f>
        <v>532.9</v>
      </c>
      <c r="AA12" s="20">
        <v>252.5</v>
      </c>
      <c r="AB12" s="20">
        <v>125.7</v>
      </c>
      <c r="AC12" s="20">
        <v>120.1</v>
      </c>
      <c r="AD12" s="21">
        <v>113.5</v>
      </c>
      <c r="AE12" s="22">
        <v>56</v>
      </c>
    </row>
    <row r="13" spans="1:3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3" t="s">
        <v>23</v>
      </c>
      <c r="Y13" s="14">
        <f t="shared" si="0"/>
        <v>9823</v>
      </c>
      <c r="Z13" s="15">
        <v>1681</v>
      </c>
      <c r="AA13" s="15">
        <v>4258</v>
      </c>
      <c r="AB13" s="15">
        <v>478</v>
      </c>
      <c r="AC13" s="15">
        <v>934</v>
      </c>
      <c r="AD13" s="16">
        <v>2017</v>
      </c>
      <c r="AE13" s="17">
        <v>455</v>
      </c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8" t="s">
        <v>1</v>
      </c>
      <c r="Y14" s="19">
        <f t="shared" si="0"/>
        <v>9320</v>
      </c>
      <c r="Z14" s="20">
        <v>1770</v>
      </c>
      <c r="AA14" s="20">
        <v>4969</v>
      </c>
      <c r="AB14" s="20">
        <v>385</v>
      </c>
      <c r="AC14" s="20">
        <v>307</v>
      </c>
      <c r="AD14" s="21">
        <v>420</v>
      </c>
      <c r="AE14" s="22">
        <v>1469</v>
      </c>
    </row>
    <row r="15" spans="1:3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3" t="s">
        <v>3</v>
      </c>
      <c r="Y15" s="14">
        <f t="shared" si="0"/>
        <v>5858</v>
      </c>
      <c r="Z15" s="15">
        <v>2822</v>
      </c>
      <c r="AA15" s="15">
        <v>1749</v>
      </c>
      <c r="AB15" s="15">
        <v>204</v>
      </c>
      <c r="AC15" s="15">
        <f>818+265</f>
        <v>1083</v>
      </c>
      <c r="AD15" s="16">
        <v>0</v>
      </c>
      <c r="AE15" s="17">
        <v>0</v>
      </c>
    </row>
    <row r="16" spans="1:3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8" t="s">
        <v>24</v>
      </c>
      <c r="Y16" s="19">
        <f t="shared" si="0"/>
        <v>3485.29</v>
      </c>
      <c r="Z16" s="20">
        <v>1186.3399999999999</v>
      </c>
      <c r="AA16" s="20">
        <v>918.21</v>
      </c>
      <c r="AB16" s="20">
        <v>663</v>
      </c>
      <c r="AC16" s="20">
        <v>258.7</v>
      </c>
      <c r="AD16" s="21">
        <v>459.04</v>
      </c>
      <c r="AE16" s="22">
        <v>0</v>
      </c>
    </row>
    <row r="17" spans="1:3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3" t="s">
        <v>25</v>
      </c>
      <c r="Y17" s="14">
        <f t="shared" si="0"/>
        <v>353.70000000000005</v>
      </c>
      <c r="Z17" s="15">
        <v>45</v>
      </c>
      <c r="AA17" s="15">
        <f>108+51.2+32.24</f>
        <v>191.44</v>
      </c>
      <c r="AB17" s="15">
        <f>8.18+33</f>
        <v>41.18</v>
      </c>
      <c r="AC17" s="15">
        <f>25+18.84+32.24</f>
        <v>76.080000000000013</v>
      </c>
      <c r="AD17" s="16">
        <v>0</v>
      </c>
      <c r="AE17" s="17">
        <v>0</v>
      </c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8" t="s">
        <v>4</v>
      </c>
      <c r="Y18" s="19">
        <f t="shared" si="0"/>
        <v>7542</v>
      </c>
      <c r="Z18" s="20">
        <v>2015</v>
      </c>
      <c r="AA18" s="20">
        <v>2425</v>
      </c>
      <c r="AB18" s="20">
        <v>553</v>
      </c>
      <c r="AC18" s="20">
        <v>594</v>
      </c>
      <c r="AD18" s="21">
        <f>295+777</f>
        <v>1072</v>
      </c>
      <c r="AE18" s="22">
        <v>883</v>
      </c>
    </row>
    <row r="19" spans="1:31" x14ac:dyDescent="0.25">
      <c r="A19" s="1"/>
      <c r="B19" s="1" t="s">
        <v>14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3" t="s">
        <v>5</v>
      </c>
      <c r="Y19" s="14">
        <f t="shared" si="0"/>
        <v>7412</v>
      </c>
      <c r="Z19" s="15">
        <v>1985</v>
      </c>
      <c r="AA19" s="15">
        <v>2347</v>
      </c>
      <c r="AB19" s="15">
        <v>553</v>
      </c>
      <c r="AC19" s="15">
        <v>594</v>
      </c>
      <c r="AD19" s="16">
        <f>289+777</f>
        <v>1066</v>
      </c>
      <c r="AE19" s="17">
        <v>867</v>
      </c>
    </row>
    <row r="20" spans="1:31" x14ac:dyDescent="0.25">
      <c r="A20" s="1"/>
      <c r="B20" s="1"/>
      <c r="C20" s="2" t="s">
        <v>2</v>
      </c>
      <c r="D20" s="2" t="s">
        <v>0</v>
      </c>
      <c r="E20" s="1" t="s">
        <v>23</v>
      </c>
      <c r="F20" s="2" t="s">
        <v>1</v>
      </c>
      <c r="G20" s="2" t="s">
        <v>3</v>
      </c>
      <c r="H20" s="2" t="s">
        <v>26</v>
      </c>
      <c r="I20" s="2" t="s">
        <v>27</v>
      </c>
      <c r="J20" s="3" t="s">
        <v>4</v>
      </c>
      <c r="K20" s="3" t="s">
        <v>5</v>
      </c>
      <c r="L20" s="3" t="s">
        <v>6</v>
      </c>
      <c r="M20" s="3" t="s">
        <v>7</v>
      </c>
      <c r="N20" s="3" t="s">
        <v>8</v>
      </c>
      <c r="O20" s="1"/>
      <c r="P20" s="1"/>
      <c r="Q20" s="1"/>
      <c r="R20" s="1"/>
      <c r="S20" s="1"/>
      <c r="T20" s="1"/>
      <c r="U20" s="1"/>
      <c r="V20" s="1"/>
      <c r="W20" s="1"/>
      <c r="X20" s="18" t="s">
        <v>6</v>
      </c>
      <c r="Y20" s="19">
        <f t="shared" si="0"/>
        <v>5970</v>
      </c>
      <c r="Z20" s="20">
        <v>1877</v>
      </c>
      <c r="AA20" s="20">
        <v>1125</v>
      </c>
      <c r="AB20" s="20">
        <v>553</v>
      </c>
      <c r="AC20" s="20">
        <v>594</v>
      </c>
      <c r="AD20" s="21">
        <f>272+777</f>
        <v>1049</v>
      </c>
      <c r="AE20" s="22">
        <v>772</v>
      </c>
    </row>
    <row r="21" spans="1:31" ht="15.75" thickBot="1" x14ac:dyDescent="0.3">
      <c r="A21" s="1"/>
      <c r="B21" s="4" t="s">
        <v>9</v>
      </c>
      <c r="C21" s="2">
        <v>460</v>
      </c>
      <c r="D21" s="2">
        <f>404.8+28.8+99.3</f>
        <v>532.9</v>
      </c>
      <c r="E21" s="2">
        <v>1681</v>
      </c>
      <c r="F21" s="3">
        <v>1770</v>
      </c>
      <c r="G21" s="3">
        <v>2822</v>
      </c>
      <c r="H21" s="3">
        <v>1186.3399999999999</v>
      </c>
      <c r="I21" s="3">
        <v>45</v>
      </c>
      <c r="J21" s="3">
        <v>2015</v>
      </c>
      <c r="K21" s="3">
        <v>1985</v>
      </c>
      <c r="L21" s="3">
        <v>1877</v>
      </c>
      <c r="M21" s="3">
        <v>1860</v>
      </c>
      <c r="N21" s="5">
        <f>SUM(C21:M21)/SUM($C$27:$M$27)</f>
        <v>0.2756065027505068</v>
      </c>
      <c r="O21" s="1"/>
      <c r="P21" s="1"/>
      <c r="Q21" s="1"/>
      <c r="R21" s="1"/>
      <c r="S21" s="1"/>
      <c r="T21" s="1"/>
      <c r="U21" s="1"/>
      <c r="V21" s="1"/>
      <c r="W21" s="1"/>
      <c r="X21" s="13" t="s">
        <v>7</v>
      </c>
      <c r="Y21" s="14">
        <f t="shared" si="0"/>
        <v>5912</v>
      </c>
      <c r="Z21" s="15">
        <v>1860</v>
      </c>
      <c r="AA21" s="15">
        <v>1095</v>
      </c>
      <c r="AB21" s="15">
        <v>553</v>
      </c>
      <c r="AC21" s="15">
        <v>594</v>
      </c>
      <c r="AD21" s="16">
        <f>269+777</f>
        <v>1046</v>
      </c>
      <c r="AE21" s="17">
        <v>764</v>
      </c>
    </row>
    <row r="22" spans="1:31" ht="15.75" thickBot="1" x14ac:dyDescent="0.3">
      <c r="A22" s="1"/>
      <c r="B22" s="1" t="s">
        <v>10</v>
      </c>
      <c r="C22" s="2">
        <v>495</v>
      </c>
      <c r="D22" s="2">
        <v>252.5</v>
      </c>
      <c r="E22" s="2">
        <v>4258</v>
      </c>
      <c r="F22" s="3">
        <v>4969</v>
      </c>
      <c r="G22" s="3">
        <v>1749</v>
      </c>
      <c r="H22" s="2">
        <v>918.21</v>
      </c>
      <c r="I22" s="3">
        <f>108+51.2+32.24</f>
        <v>191.44</v>
      </c>
      <c r="J22" s="3">
        <v>2425</v>
      </c>
      <c r="K22" s="3">
        <v>2347</v>
      </c>
      <c r="L22" s="3">
        <v>1125</v>
      </c>
      <c r="M22" s="3">
        <v>1095</v>
      </c>
      <c r="N22" s="5">
        <f t="shared" ref="N22:N26" si="1">SUM(C22:M22)/SUM($C$27:$M$27)</f>
        <v>0.33656889746635571</v>
      </c>
      <c r="O22" s="1"/>
      <c r="P22" s="1"/>
      <c r="Q22" s="1"/>
      <c r="R22" s="1"/>
      <c r="S22" s="1"/>
      <c r="T22" s="1"/>
      <c r="U22" s="1"/>
      <c r="V22" s="1"/>
      <c r="W22" s="1"/>
      <c r="X22" s="23" t="s">
        <v>8</v>
      </c>
      <c r="Y22" s="24">
        <f t="shared" ref="Y22:AE22" si="2">SUM(Y11:Y21)/SUM($Y$11:$Y$21)</f>
        <v>1</v>
      </c>
      <c r="Z22" s="25">
        <f t="shared" si="2"/>
        <v>0.2756065027505068</v>
      </c>
      <c r="AA22" s="25">
        <f t="shared" si="2"/>
        <v>0.33656889746635571</v>
      </c>
      <c r="AB22" s="25">
        <f t="shared" si="2"/>
        <v>7.5969434172969447E-2</v>
      </c>
      <c r="AC22" s="25">
        <f t="shared" si="2"/>
        <v>8.8006031540638602E-2</v>
      </c>
      <c r="AD22" s="26">
        <f t="shared" si="2"/>
        <v>0.12981427818868393</v>
      </c>
      <c r="AE22" s="27">
        <f t="shared" si="2"/>
        <v>9.4034855880845494E-2</v>
      </c>
    </row>
    <row r="23" spans="1:31" x14ac:dyDescent="0.25">
      <c r="A23" s="1"/>
      <c r="B23" s="1" t="s">
        <v>11</v>
      </c>
      <c r="C23" s="2">
        <v>366</v>
      </c>
      <c r="D23" s="2">
        <v>125.7</v>
      </c>
      <c r="E23" s="2">
        <v>478</v>
      </c>
      <c r="F23" s="2">
        <v>385</v>
      </c>
      <c r="G23" s="2">
        <v>204</v>
      </c>
      <c r="H23" s="2">
        <v>663</v>
      </c>
      <c r="I23" s="2">
        <f>8.18+33</f>
        <v>41.18</v>
      </c>
      <c r="J23" s="2">
        <v>553</v>
      </c>
      <c r="K23" s="2">
        <v>553</v>
      </c>
      <c r="L23" s="2">
        <v>553</v>
      </c>
      <c r="M23" s="2">
        <v>553</v>
      </c>
      <c r="N23" s="5">
        <f t="shared" si="1"/>
        <v>7.5969434172969447E-2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 t="s">
        <v>12</v>
      </c>
      <c r="C24" s="3">
        <v>29</v>
      </c>
      <c r="D24" s="2">
        <v>120.1</v>
      </c>
      <c r="E24" s="2">
        <v>934</v>
      </c>
      <c r="F24" s="2">
        <v>307</v>
      </c>
      <c r="G24" s="2">
        <f>818+265</f>
        <v>1083</v>
      </c>
      <c r="H24" s="2">
        <v>258.7</v>
      </c>
      <c r="I24" s="3">
        <f>25+18.84+32.24</f>
        <v>76.080000000000013</v>
      </c>
      <c r="J24" s="2">
        <v>594</v>
      </c>
      <c r="K24" s="2">
        <v>594</v>
      </c>
      <c r="L24" s="3">
        <v>594</v>
      </c>
      <c r="M24" s="2">
        <v>594</v>
      </c>
      <c r="N24" s="5">
        <f t="shared" si="1"/>
        <v>8.8006031540638602E-2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 t="s">
        <v>28</v>
      </c>
      <c r="C25" s="2">
        <f>210+194</f>
        <v>404</v>
      </c>
      <c r="D25" s="3">
        <v>113.5</v>
      </c>
      <c r="E25" s="2">
        <v>2017</v>
      </c>
      <c r="F25" s="2">
        <v>420</v>
      </c>
      <c r="G25" s="2">
        <v>0</v>
      </c>
      <c r="H25" s="2">
        <v>459.04</v>
      </c>
      <c r="I25" s="3">
        <v>0</v>
      </c>
      <c r="J25" s="2">
        <f>295+777</f>
        <v>1072</v>
      </c>
      <c r="K25" s="3">
        <f>289+777</f>
        <v>1066</v>
      </c>
      <c r="L25" s="2">
        <f>272+777</f>
        <v>1049</v>
      </c>
      <c r="M25" s="2">
        <f>269+777</f>
        <v>1046</v>
      </c>
      <c r="N25" s="5">
        <f t="shared" si="1"/>
        <v>0.12981427818868393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thickBot="1" x14ac:dyDescent="0.3">
      <c r="A26" s="1"/>
      <c r="B26" s="1" t="s">
        <v>13</v>
      </c>
      <c r="C26" s="3">
        <v>273</v>
      </c>
      <c r="D26" s="2">
        <v>56</v>
      </c>
      <c r="E26" s="2">
        <v>455</v>
      </c>
      <c r="F26" s="3">
        <v>1469</v>
      </c>
      <c r="G26" s="2">
        <v>0</v>
      </c>
      <c r="H26" s="2">
        <v>0</v>
      </c>
      <c r="I26" s="3">
        <v>0</v>
      </c>
      <c r="J26" s="2">
        <v>883</v>
      </c>
      <c r="K26" s="3">
        <v>867</v>
      </c>
      <c r="L26" s="2">
        <v>772</v>
      </c>
      <c r="M26" s="2">
        <v>764</v>
      </c>
      <c r="N26" s="5">
        <f t="shared" si="1"/>
        <v>9.4034855880845494E-2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thickBot="1" x14ac:dyDescent="0.3">
      <c r="A27" s="1"/>
      <c r="B27" s="6" t="s">
        <v>29</v>
      </c>
      <c r="C27" s="28">
        <f>SUM(C21:C26)</f>
        <v>2027</v>
      </c>
      <c r="D27" s="28">
        <f t="shared" ref="D27:M27" si="3">SUM(D21:D26)</f>
        <v>1200.7</v>
      </c>
      <c r="E27" s="28">
        <f t="shared" si="3"/>
        <v>9823</v>
      </c>
      <c r="F27" s="28">
        <f t="shared" si="3"/>
        <v>9320</v>
      </c>
      <c r="G27" s="28">
        <f t="shared" si="3"/>
        <v>5858</v>
      </c>
      <c r="H27" s="28">
        <f t="shared" si="3"/>
        <v>3485.29</v>
      </c>
      <c r="I27" s="28">
        <f t="shared" si="3"/>
        <v>353.70000000000005</v>
      </c>
      <c r="J27" s="28">
        <f t="shared" si="3"/>
        <v>7542</v>
      </c>
      <c r="K27" s="28">
        <f t="shared" si="3"/>
        <v>7412</v>
      </c>
      <c r="L27" s="28">
        <f t="shared" si="3"/>
        <v>5970</v>
      </c>
      <c r="M27" s="28">
        <f t="shared" si="3"/>
        <v>5912</v>
      </c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4"/>
      <c r="J28" s="3"/>
      <c r="K28" s="3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1"/>
      <c r="B60" s="1" t="s">
        <v>30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1"/>
      <c r="B61" s="1" t="s">
        <v>31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"/>
      <c r="B80" s="1" t="s">
        <v>32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</sheetData>
  <mergeCells count="1">
    <mergeCell ref="X9:A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2023-03-31T14:27:15Z</dcterms:created>
  <dcterms:modified xsi:type="dcterms:W3CDTF">2023-06-06T23:23:29Z</dcterms:modified>
</cp:coreProperties>
</file>