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ORLA_Lander_Mission_Architecture\"/>
    </mc:Choice>
  </mc:AlternateContent>
  <xr:revisionPtr revIDLastSave="0" documentId="13_ncr:1_{15EA23CD-F2EB-4907-B0FA-9BE218626D16}" xr6:coauthVersionLast="47" xr6:coauthVersionMax="47" xr10:uidLastSave="{00000000-0000-0000-0000-000000000000}"/>
  <bookViews>
    <workbookView xWindow="-120" yWindow="-120" windowWidth="21840" windowHeight="13140" xr2:uid="{980FDF1D-6D6A-4B67-B4CD-9FBE1C3FED1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H39" i="1"/>
  <c r="F39" i="1"/>
  <c r="E39" i="1"/>
  <c r="M37" i="1"/>
  <c r="M39" i="1" s="1"/>
  <c r="L37" i="1"/>
  <c r="L39" i="1" s="1"/>
  <c r="K37" i="1"/>
  <c r="K39" i="1" s="1"/>
  <c r="J37" i="1"/>
  <c r="C37" i="1"/>
  <c r="I36" i="1"/>
  <c r="G36" i="1"/>
  <c r="G39" i="1" s="1"/>
  <c r="I35" i="1"/>
  <c r="I34" i="1"/>
  <c r="I39" i="1" s="1"/>
  <c r="AD33" i="1"/>
  <c r="Y33" i="1"/>
  <c r="D33" i="1"/>
  <c r="D39" i="1" s="1"/>
  <c r="AD32" i="1"/>
  <c r="Y32" i="1"/>
  <c r="AD31" i="1"/>
  <c r="Y31" i="1"/>
  <c r="AD30" i="1"/>
  <c r="Y30" i="1"/>
  <c r="AC29" i="1"/>
  <c r="AB29" i="1"/>
  <c r="Y29" i="1" s="1"/>
  <c r="AA29" i="1"/>
  <c r="Y28" i="1"/>
  <c r="AC27" i="1"/>
  <c r="Y27" i="1" s="1"/>
  <c r="Y26" i="1"/>
  <c r="Y25" i="1"/>
  <c r="Z24" i="1"/>
  <c r="AD23" i="1"/>
  <c r="M13" i="1"/>
  <c r="L13" i="1"/>
  <c r="K13" i="1"/>
  <c r="J13" i="1"/>
  <c r="I13" i="1"/>
  <c r="H13" i="1"/>
  <c r="G13" i="1"/>
  <c r="F13" i="1"/>
  <c r="E13" i="1"/>
  <c r="C13" i="1"/>
  <c r="N10" i="1" s="1"/>
  <c r="D4" i="1"/>
  <c r="D13" i="1" s="1"/>
  <c r="N5" i="1" l="1"/>
  <c r="N9" i="1"/>
  <c r="N7" i="1"/>
  <c r="N11" i="1"/>
  <c r="N4" i="1"/>
  <c r="N8" i="1"/>
  <c r="N12" i="1"/>
  <c r="Y23" i="1"/>
  <c r="C39" i="1"/>
  <c r="N37" i="1" s="1"/>
  <c r="AC34" i="1"/>
  <c r="N6" i="1"/>
  <c r="Y24" i="1"/>
  <c r="N33" i="1" l="1"/>
  <c r="AA34" i="1"/>
  <c r="Y34" i="1"/>
  <c r="AE34" i="1"/>
  <c r="N35" i="1"/>
  <c r="N38" i="1"/>
  <c r="N36" i="1"/>
  <c r="AB34" i="1"/>
  <c r="Z34" i="1"/>
  <c r="N34" i="1"/>
  <c r="AD34" i="1"/>
</calcChain>
</file>

<file path=xl/sharedStrings.xml><?xml version="1.0" encoding="utf-8"?>
<sst xmlns="http://schemas.openxmlformats.org/spreadsheetml/2006/main" count="76" uniqueCount="42">
  <si>
    <t>Lander Subsystem database</t>
  </si>
  <si>
    <t>0503-CE&amp;R-3</t>
  </si>
  <si>
    <t>9508-HLR-1</t>
  </si>
  <si>
    <t>9205-FLO-1</t>
  </si>
  <si>
    <t>Apollo J-series</t>
  </si>
  <si>
    <t>0503-CE&amp;R-6</t>
  </si>
  <si>
    <t>0503-CE&amp;R-8</t>
  </si>
  <si>
    <t>0507-ESAS-A</t>
  </si>
  <si>
    <t>0507-ESAS-D</t>
  </si>
  <si>
    <t>0507-ESAS-F</t>
  </si>
  <si>
    <t>0507-ESAS-H</t>
  </si>
  <si>
    <t>0507-ESAS-J</t>
  </si>
  <si>
    <t>Avgs</t>
  </si>
  <si>
    <t>Structure</t>
  </si>
  <si>
    <t>Propulsion</t>
  </si>
  <si>
    <t>Power</t>
  </si>
  <si>
    <t>Environment</t>
  </si>
  <si>
    <t>Avionics</t>
  </si>
  <si>
    <t>Protection</t>
  </si>
  <si>
    <t>Control</t>
  </si>
  <si>
    <t>Growth</t>
  </si>
  <si>
    <t>Other</t>
  </si>
  <si>
    <t>Dry mass</t>
  </si>
  <si>
    <t>Subsystem sizing</t>
  </si>
  <si>
    <t>Spacecraft</t>
  </si>
  <si>
    <t>dry mass [kg]</t>
  </si>
  <si>
    <t>Structure [kg]</t>
  </si>
  <si>
    <t>Propulsion [kg]</t>
  </si>
  <si>
    <t>Power [kg]</t>
  </si>
  <si>
    <t>Avionics [kg]</t>
  </si>
  <si>
    <t>Thermal [kg]</t>
  </si>
  <si>
    <t>Other [kg]</t>
  </si>
  <si>
    <t>8801-EE-1</t>
  </si>
  <si>
    <t>Robotic Lunar Lander</t>
  </si>
  <si>
    <t>Low Cost Lunar Lander</t>
  </si>
  <si>
    <t>Robotic Lunar Lander Concept</t>
  </si>
  <si>
    <t>Low Cost Lunar Lander Concpet</t>
  </si>
  <si>
    <t>Thermal Protection</t>
  </si>
  <si>
    <t>total</t>
  </si>
  <si>
    <t>is thisan exponential relation?</t>
  </si>
  <si>
    <t>I don’t think so. See sheet 9</t>
  </si>
  <si>
    <t>Power depends not on weight but on application. Use rule of thumb and parametric sizing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</si>
</sst>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1" fontId="1" fillId="4" borderId="9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left"/>
    </xf>
    <xf numFmtId="164" fontId="1" fillId="4" borderId="12" xfId="0" applyNumberFormat="1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6B-4093-B7CF-70ABD03D34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6B-4093-B7CF-70ABD03D34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6B-4093-B7CF-70ABD03D34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6B-4093-B7CF-70ABD03D34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6B-4093-B7CF-70ABD03D34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6B-4093-B7CF-70ABD03D34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6B-4093-B7CF-70ABD03D347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6B-4093-B7CF-70ABD03D347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56B-4093-B7CF-70ABD03D3476}"/>
              </c:ext>
            </c:extLst>
          </c:dPt>
          <c:cat>
            <c:strRef>
              <c:f>[1]Sheet7!$B$4:$B$12</c:f>
              <c:strCache>
                <c:ptCount val="9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Environment</c:v>
                </c:pt>
                <c:pt idx="4">
                  <c:v>Avionics</c:v>
                </c:pt>
                <c:pt idx="5">
                  <c:v>Protection</c:v>
                </c:pt>
                <c:pt idx="6">
                  <c:v>Control</c:v>
                </c:pt>
                <c:pt idx="7">
                  <c:v>Growth</c:v>
                </c:pt>
                <c:pt idx="8">
                  <c:v>Other</c:v>
                </c:pt>
              </c:strCache>
            </c:strRef>
          </c:cat>
          <c:val>
            <c:numRef>
              <c:f>[1]Sheet7!$N$4:$N$12</c:f>
              <c:numCache>
                <c:formatCode>0.0%</c:formatCode>
                <c:ptCount val="9"/>
                <c:pt idx="0">
                  <c:v>0.37014532844659487</c:v>
                </c:pt>
                <c:pt idx="1">
                  <c:v>0.34123750733279873</c:v>
                </c:pt>
                <c:pt idx="2">
                  <c:v>8.7934384233271795E-2</c:v>
                </c:pt>
                <c:pt idx="3">
                  <c:v>7.4395391683574716E-2</c:v>
                </c:pt>
                <c:pt idx="4">
                  <c:v>7.147303593116229E-2</c:v>
                </c:pt>
                <c:pt idx="5">
                  <c:v>3.6121321715668599E-2</c:v>
                </c:pt>
                <c:pt idx="6">
                  <c:v>1.869303065692907E-2</c:v>
                </c:pt>
                <c:pt idx="7">
                  <c:v>0.16093587142352273</c:v>
                </c:pt>
                <c:pt idx="8">
                  <c:v>0.11237345876679818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6B-4093-B7CF-70ABD03D3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86286089238855"/>
          <c:y val="5.4397054534849811E-2"/>
          <c:w val="0.26905183727034115"/>
          <c:h val="0.8344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42-4E76-8B6A-0A5194D320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42-4E76-8B6A-0A5194D320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42-4E76-8B6A-0A5194D320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42-4E76-8B6A-0A5194D320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E42-4E76-8B6A-0A5194D3202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E42-4E76-8B6A-0A5194D32021}"/>
              </c:ext>
            </c:extLst>
          </c:dPt>
          <c:dLbls>
            <c:dLbl>
              <c:idx val="0"/>
              <c:layout>
                <c:manualLayout>
                  <c:x val="-8.1741511180335943E-3"/>
                  <c:y val="1.3294692330125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42-4E76-8B6A-0A5194D32021}"/>
                </c:ext>
              </c:extLst>
            </c:dLbl>
            <c:dLbl>
              <c:idx val="1"/>
              <c:layout>
                <c:manualLayout>
                  <c:x val="6.1088851138684931E-2"/>
                  <c:y val="-6.671296296296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42-4E76-8B6A-0A5194D32021}"/>
                </c:ext>
              </c:extLst>
            </c:dLbl>
            <c:dLbl>
              <c:idx val="2"/>
              <c:layout>
                <c:manualLayout>
                  <c:x val="1.4151920450049887E-3"/>
                  <c:y val="4.3890347039953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42-4E76-8B6A-0A5194D32021}"/>
                </c:ext>
              </c:extLst>
            </c:dLbl>
            <c:dLbl>
              <c:idx val="3"/>
              <c:layout>
                <c:manualLayout>
                  <c:x val="-3.0265251510906647E-2"/>
                  <c:y val="3.12609175967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42-4E76-8B6A-0A5194D32021}"/>
                </c:ext>
              </c:extLst>
            </c:dLbl>
            <c:dLbl>
              <c:idx val="4"/>
              <c:layout>
                <c:manualLayout>
                  <c:x val="-3.6169388247646959E-3"/>
                  <c:y val="-2.0894283912669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E42-4E76-8B6A-0A5194D32021}"/>
                </c:ext>
              </c:extLst>
            </c:dLbl>
            <c:dLbl>
              <c:idx val="5"/>
              <c:layout>
                <c:manualLayout>
                  <c:x val="-8.251811346293085E-2"/>
                  <c:y val="1.1574074074074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E42-4E76-8B6A-0A5194D320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[1]Sheet7!$B$33:$B$38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Avionics</c:v>
                </c:pt>
                <c:pt idx="4">
                  <c:v>Thermal Protection</c:v>
                </c:pt>
                <c:pt idx="5">
                  <c:v>Other</c:v>
                </c:pt>
              </c:strCache>
            </c:strRef>
          </c:cat>
          <c:val>
            <c:numRef>
              <c:f>[1]Sheet7!$N$33:$N$38</c:f>
              <c:numCache>
                <c:formatCode>0.0%</c:formatCode>
                <c:ptCount val="6"/>
                <c:pt idx="0">
                  <c:v>0.2756065027505068</c:v>
                </c:pt>
                <c:pt idx="1">
                  <c:v>0.33656889746635571</c:v>
                </c:pt>
                <c:pt idx="2">
                  <c:v>7.5969434172969447E-2</c:v>
                </c:pt>
                <c:pt idx="3">
                  <c:v>8.8006031540638602E-2</c:v>
                </c:pt>
                <c:pt idx="4">
                  <c:v>0.12981427818868393</c:v>
                </c:pt>
                <c:pt idx="5">
                  <c:v>9.4034855880845494E-2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42-4E76-8B6A-0A5194D3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683370785926694"/>
          <c:y val="5.439692059974547E-2"/>
          <c:w val="0.35428679728240364"/>
          <c:h val="0.91812819090174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843963254593176"/>
                  <c:y val="-0.19128280839895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[1]Sheet7!$C$33:$M$33</c:f>
              <c:numCache>
                <c:formatCode>General</c:formatCode>
                <c:ptCount val="11"/>
                <c:pt idx="0">
                  <c:v>460</c:v>
                </c:pt>
                <c:pt idx="1">
                  <c:v>532.9</c:v>
                </c:pt>
                <c:pt idx="2">
                  <c:v>1681</c:v>
                </c:pt>
                <c:pt idx="3" formatCode="#,##0">
                  <c:v>1770</c:v>
                </c:pt>
                <c:pt idx="4" formatCode="#,##0">
                  <c:v>2822</c:v>
                </c:pt>
                <c:pt idx="5" formatCode="#,##0">
                  <c:v>1186.3399999999999</c:v>
                </c:pt>
                <c:pt idx="6" formatCode="#,##0">
                  <c:v>45</c:v>
                </c:pt>
                <c:pt idx="7" formatCode="#,##0">
                  <c:v>2015</c:v>
                </c:pt>
                <c:pt idx="8" formatCode="#,##0">
                  <c:v>1985</c:v>
                </c:pt>
                <c:pt idx="9" formatCode="#,##0">
                  <c:v>1877</c:v>
                </c:pt>
                <c:pt idx="10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24-4CC1-B8D1-D1ED5C16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[1]Sheet7!$C$34:$M$34</c:f>
              <c:numCache>
                <c:formatCode>General</c:formatCode>
                <c:ptCount val="11"/>
                <c:pt idx="0">
                  <c:v>495</c:v>
                </c:pt>
                <c:pt idx="1">
                  <c:v>252.5</c:v>
                </c:pt>
                <c:pt idx="2">
                  <c:v>4258</c:v>
                </c:pt>
                <c:pt idx="3" formatCode="#,##0">
                  <c:v>4969</c:v>
                </c:pt>
                <c:pt idx="4" formatCode="#,##0">
                  <c:v>1749</c:v>
                </c:pt>
                <c:pt idx="5">
                  <c:v>918.21</c:v>
                </c:pt>
                <c:pt idx="6" formatCode="#,##0">
                  <c:v>191.44</c:v>
                </c:pt>
                <c:pt idx="7" formatCode="#,##0">
                  <c:v>2425</c:v>
                </c:pt>
                <c:pt idx="8" formatCode="#,##0">
                  <c:v>2347</c:v>
                </c:pt>
                <c:pt idx="9" formatCode="#,##0">
                  <c:v>1125</c:v>
                </c:pt>
                <c:pt idx="10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57D9-4CBE-A7F2-B3BEABA4E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0244969378829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[1]Sheet7!$H$39:$M$39</c:f>
              <c:numCache>
                <c:formatCode>General</c:formatCode>
                <c:ptCount val="6"/>
                <c:pt idx="0">
                  <c:v>3485.29</c:v>
                </c:pt>
                <c:pt idx="1">
                  <c:v>353.70000000000005</c:v>
                </c:pt>
                <c:pt idx="2">
                  <c:v>7542</c:v>
                </c:pt>
                <c:pt idx="3">
                  <c:v>7412</c:v>
                </c:pt>
                <c:pt idx="4">
                  <c:v>5970</c:v>
                </c:pt>
                <c:pt idx="5">
                  <c:v>5912</c:v>
                </c:pt>
              </c:numCache>
            </c:numRef>
          </c:xVal>
          <c:yVal>
            <c:numRef>
              <c:f>[1]Sheet7!$H$35:$M$35</c:f>
              <c:numCache>
                <c:formatCode>General</c:formatCode>
                <c:ptCount val="6"/>
                <c:pt idx="0">
                  <c:v>663</c:v>
                </c:pt>
                <c:pt idx="1">
                  <c:v>41.18</c:v>
                </c:pt>
                <c:pt idx="2">
                  <c:v>553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8-411C-89B4-EA395110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11008773891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[1]Sheet7!$B$36</c:f>
              <c:strCache>
                <c:ptCount val="1"/>
                <c:pt idx="0">
                  <c:v>Avionics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[1]Sheet7!$C$36:$M$36</c:f>
              <c:numCache>
                <c:formatCode>General</c:formatCode>
                <c:ptCount val="11"/>
                <c:pt idx="0" formatCode="#,##0">
                  <c:v>29</c:v>
                </c:pt>
                <c:pt idx="1">
                  <c:v>120.1</c:v>
                </c:pt>
                <c:pt idx="2">
                  <c:v>934</c:v>
                </c:pt>
                <c:pt idx="3">
                  <c:v>307</c:v>
                </c:pt>
                <c:pt idx="4">
                  <c:v>1083</c:v>
                </c:pt>
                <c:pt idx="5">
                  <c:v>258.7</c:v>
                </c:pt>
                <c:pt idx="6" formatCode="#,##0">
                  <c:v>76.080000000000013</c:v>
                </c:pt>
                <c:pt idx="7">
                  <c:v>594</c:v>
                </c:pt>
                <c:pt idx="8">
                  <c:v>594</c:v>
                </c:pt>
                <c:pt idx="9" formatCode="#,##0">
                  <c:v>594</c:v>
                </c:pt>
                <c:pt idx="1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C-4B28-A136-5F7793CF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AVionics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[1]Sheet7!$B$37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12452633251885"/>
                  <c:y val="-0.37924139690871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[1]Sheet7!$C$37:$M$37</c:f>
              <c:numCache>
                <c:formatCode>#,##0</c:formatCode>
                <c:ptCount val="11"/>
                <c:pt idx="0" formatCode="General">
                  <c:v>404</c:v>
                </c:pt>
                <c:pt idx="1">
                  <c:v>113.5</c:v>
                </c:pt>
                <c:pt idx="2" formatCode="General">
                  <c:v>2017</c:v>
                </c:pt>
                <c:pt idx="3" formatCode="General">
                  <c:v>420</c:v>
                </c:pt>
                <c:pt idx="4" formatCode="General">
                  <c:v>0</c:v>
                </c:pt>
                <c:pt idx="5" formatCode="General">
                  <c:v>459.04</c:v>
                </c:pt>
                <c:pt idx="6">
                  <c:v>0</c:v>
                </c:pt>
                <c:pt idx="7" formatCode="General">
                  <c:v>1072</c:v>
                </c:pt>
                <c:pt idx="8">
                  <c:v>1066</c:v>
                </c:pt>
                <c:pt idx="9" formatCode="General">
                  <c:v>1049</c:v>
                </c:pt>
                <c:pt idx="10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47-43AC-98F5-107A165AC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7957567804024602E-2"/>
                  <c:y val="-0.29297608632254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([1]Sheet7!$C$39:$D$39,[1]Sheet7!$G$39:$M$39)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([1]Sheet7!$C$34:$D$34,[1]Sheet7!$G$34:$M$34)</c:f>
              <c:numCache>
                <c:formatCode>General</c:formatCode>
                <c:ptCount val="9"/>
                <c:pt idx="0">
                  <c:v>495</c:v>
                </c:pt>
                <c:pt idx="1">
                  <c:v>252.5</c:v>
                </c:pt>
                <c:pt idx="2" formatCode="#,##0">
                  <c:v>1749</c:v>
                </c:pt>
                <c:pt idx="3">
                  <c:v>918.21</c:v>
                </c:pt>
                <c:pt idx="4" formatCode="#,##0">
                  <c:v>191.44</c:v>
                </c:pt>
                <c:pt idx="5" formatCode="#,##0">
                  <c:v>2425</c:v>
                </c:pt>
                <c:pt idx="6" formatCode="#,##0">
                  <c:v>2347</c:v>
                </c:pt>
                <c:pt idx="7" formatCode="#,##0">
                  <c:v>1125</c:v>
                </c:pt>
                <c:pt idx="8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30A4-46E5-9DA8-594DF356B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624234470691165E-2"/>
                  <c:y val="-0.2124945319335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([1]Sheet7!$C$39:$D$39,[1]Sheet7!$G$39:$M$39)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([1]Sheet7!$C$33:$D$33,[1]Sheet7!$G$33:$M$33)</c:f>
              <c:numCache>
                <c:formatCode>General</c:formatCode>
                <c:ptCount val="9"/>
                <c:pt idx="0">
                  <c:v>460</c:v>
                </c:pt>
                <c:pt idx="1">
                  <c:v>532.9</c:v>
                </c:pt>
                <c:pt idx="2" formatCode="#,##0">
                  <c:v>2822</c:v>
                </c:pt>
                <c:pt idx="3" formatCode="#,##0">
                  <c:v>1186.3399999999999</c:v>
                </c:pt>
                <c:pt idx="4" formatCode="#,##0">
                  <c:v>45</c:v>
                </c:pt>
                <c:pt idx="5" formatCode="#,##0">
                  <c:v>2015</c:v>
                </c:pt>
                <c:pt idx="6" formatCode="#,##0">
                  <c:v>1985</c:v>
                </c:pt>
                <c:pt idx="7" formatCode="#,##0">
                  <c:v>1877</c:v>
                </c:pt>
                <c:pt idx="8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4F-4D2E-8DC8-3643FE378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[1]Sheet7!$B$37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122557451952446E-2"/>
                  <c:y val="-0.2082115777194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([1]Sheet7!$C$39:$D$39,[1]Sheet7!$H$39:$M$39)</c:f>
              <c:numCache>
                <c:formatCode>General</c:formatCode>
                <c:ptCount val="8"/>
                <c:pt idx="0">
                  <c:v>2027</c:v>
                </c:pt>
                <c:pt idx="1">
                  <c:v>1200.7</c:v>
                </c:pt>
                <c:pt idx="2">
                  <c:v>3485.29</c:v>
                </c:pt>
                <c:pt idx="3">
                  <c:v>353.70000000000005</c:v>
                </c:pt>
                <c:pt idx="4">
                  <c:v>7542</c:v>
                </c:pt>
                <c:pt idx="5">
                  <c:v>7412</c:v>
                </c:pt>
                <c:pt idx="6">
                  <c:v>5970</c:v>
                </c:pt>
                <c:pt idx="7">
                  <c:v>5912</c:v>
                </c:pt>
              </c:numCache>
            </c:numRef>
          </c:xVal>
          <c:yVal>
            <c:numRef>
              <c:f>([1]Sheet7!$C$37:$D$37,[1]Sheet7!$H$37:$M$37)</c:f>
              <c:numCache>
                <c:formatCode>#,##0</c:formatCode>
                <c:ptCount val="8"/>
                <c:pt idx="0" formatCode="General">
                  <c:v>404</c:v>
                </c:pt>
                <c:pt idx="1">
                  <c:v>113.5</c:v>
                </c:pt>
                <c:pt idx="2" formatCode="General">
                  <c:v>459.04</c:v>
                </c:pt>
                <c:pt idx="3">
                  <c:v>0</c:v>
                </c:pt>
                <c:pt idx="4" formatCode="General">
                  <c:v>1072</c:v>
                </c:pt>
                <c:pt idx="5">
                  <c:v>1066</c:v>
                </c:pt>
                <c:pt idx="6" formatCode="General">
                  <c:v>1049</c:v>
                </c:pt>
                <c:pt idx="7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7C-4C3F-83BA-B7248BB4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381001</xdr:colOff>
      <xdr:row>15</xdr:row>
      <xdr:rowOff>125187</xdr:rowOff>
    </xdr:from>
    <xdr:to>
      <xdr:col>12</xdr:col>
      <xdr:colOff>605517</xdr:colOff>
      <xdr:row>30</xdr:row>
      <xdr:rowOff>10887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DCBB256-17A4-4F42-B3DE-6D9A2BBF3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459840</xdr:colOff>
      <xdr:row>41</xdr:row>
      <xdr:rowOff>108856</xdr:rowOff>
    </xdr:from>
    <xdr:to>
      <xdr:col>30</xdr:col>
      <xdr:colOff>523874</xdr:colOff>
      <xdr:row>57</xdr:row>
      <xdr:rowOff>97811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3CBD7E4-9A62-46ED-9BA7-D716904A0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606237</xdr:colOff>
      <xdr:row>40</xdr:row>
      <xdr:rowOff>34738</xdr:rowOff>
    </xdr:from>
    <xdr:to>
      <xdr:col>8</xdr:col>
      <xdr:colOff>523875</xdr:colOff>
      <xdr:row>54</xdr:row>
      <xdr:rowOff>110938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73A60C0-B931-4249-93AB-9B0624DAB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598715</xdr:colOff>
      <xdr:row>56</xdr:row>
      <xdr:rowOff>112939</xdr:rowOff>
    </xdr:from>
    <xdr:to>
      <xdr:col>9</xdr:col>
      <xdr:colOff>47625</xdr:colOff>
      <xdr:row>70</xdr:row>
      <xdr:rowOff>189139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FD80CFB-DAC5-499E-AB64-5F196DC88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608981</xdr:colOff>
      <xdr:row>76</xdr:row>
      <xdr:rowOff>43295</xdr:rowOff>
    </xdr:from>
    <xdr:to>
      <xdr:col>9</xdr:col>
      <xdr:colOff>261937</xdr:colOff>
      <xdr:row>90</xdr:row>
      <xdr:rowOff>119495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CE8C03-021C-407E-ACA6-3FE59D5E4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591293</xdr:colOff>
      <xdr:row>93</xdr:row>
      <xdr:rowOff>84115</xdr:rowOff>
    </xdr:from>
    <xdr:to>
      <xdr:col>9</xdr:col>
      <xdr:colOff>47625</xdr:colOff>
      <xdr:row>107</xdr:row>
      <xdr:rowOff>160315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DF7D551-4EA8-4BBB-9C9A-716656E6D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632114</xdr:colOff>
      <xdr:row>109</xdr:row>
      <xdr:rowOff>109970</xdr:rowOff>
    </xdr:from>
    <xdr:to>
      <xdr:col>5</xdr:col>
      <xdr:colOff>732967</xdr:colOff>
      <xdr:row>123</xdr:row>
      <xdr:rowOff>186170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9A7E45B-7DCF-4475-999F-362B399FA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142875</xdr:colOff>
      <xdr:row>56</xdr:row>
      <xdr:rowOff>45460</xdr:rowOff>
    </xdr:from>
    <xdr:to>
      <xdr:col>17</xdr:col>
      <xdr:colOff>166687</xdr:colOff>
      <xdr:row>70</xdr:row>
      <xdr:rowOff>121660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D6DCCBB-4190-49DC-8069-A7BA75C9A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119062</xdr:colOff>
      <xdr:row>40</xdr:row>
      <xdr:rowOff>0</xdr:rowOff>
    </xdr:from>
    <xdr:to>
      <xdr:col>17</xdr:col>
      <xdr:colOff>71437</xdr:colOff>
      <xdr:row>54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4C064BC-52EE-4B28-BDDF-D045244AB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109</xdr:row>
      <xdr:rowOff>85725</xdr:rowOff>
    </xdr:from>
    <xdr:to>
      <xdr:col>10</xdr:col>
      <xdr:colOff>672353</xdr:colOff>
      <xdr:row>123</xdr:row>
      <xdr:rowOff>161925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FFCE92F-E669-4004-ACBA-041E32D73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all%20De%20Paor\Desktop\Supaero\Research%20Project\Sizing-Tool\sizing%20calculator%202.xlsx" TargetMode="External"/><Relationship Id="rId1" Type="http://schemas.openxmlformats.org/officeDocument/2006/relationships/externalLinkPath" Target="/Users/Conall%20De%20Paor/Desktop/Supaero/Research%20Project/Sizing-Tool/sizing%20calculator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Structure</v>
          </cell>
          <cell r="N4">
            <v>0.37014532844659487</v>
          </cell>
        </row>
        <row r="5">
          <cell r="B5" t="str">
            <v>Propulsion</v>
          </cell>
          <cell r="N5">
            <v>0.34123750733279873</v>
          </cell>
        </row>
        <row r="6">
          <cell r="B6" t="str">
            <v>Power</v>
          </cell>
          <cell r="N6">
            <v>8.7934384233271795E-2</v>
          </cell>
        </row>
        <row r="7">
          <cell r="B7" t="str">
            <v>Environment</v>
          </cell>
          <cell r="N7">
            <v>7.4395391683574716E-2</v>
          </cell>
        </row>
        <row r="8">
          <cell r="B8" t="str">
            <v>Avionics</v>
          </cell>
          <cell r="N8">
            <v>7.147303593116229E-2</v>
          </cell>
        </row>
        <row r="9">
          <cell r="B9" t="str">
            <v>Protection</v>
          </cell>
          <cell r="N9">
            <v>3.6121321715668599E-2</v>
          </cell>
        </row>
        <row r="10">
          <cell r="B10" t="str">
            <v>Control</v>
          </cell>
          <cell r="N10">
            <v>1.869303065692907E-2</v>
          </cell>
        </row>
        <row r="11">
          <cell r="B11" t="str">
            <v>Growth</v>
          </cell>
          <cell r="N11">
            <v>0.16093587142352273</v>
          </cell>
        </row>
        <row r="12">
          <cell r="B12" t="str">
            <v>Other</v>
          </cell>
          <cell r="N12">
            <v>0.11237345876679818</v>
          </cell>
        </row>
        <row r="33">
          <cell r="B33" t="str">
            <v>Structure</v>
          </cell>
          <cell r="C33">
            <v>460</v>
          </cell>
          <cell r="D33">
            <v>532.9</v>
          </cell>
          <cell r="E33">
            <v>1681</v>
          </cell>
          <cell r="F33">
            <v>1770</v>
          </cell>
          <cell r="G33">
            <v>2822</v>
          </cell>
          <cell r="H33">
            <v>1186.3399999999999</v>
          </cell>
          <cell r="I33">
            <v>45</v>
          </cell>
          <cell r="J33">
            <v>2015</v>
          </cell>
          <cell r="K33">
            <v>1985</v>
          </cell>
          <cell r="L33">
            <v>1877</v>
          </cell>
          <cell r="M33">
            <v>1860</v>
          </cell>
          <cell r="N33">
            <v>0.2756065027505068</v>
          </cell>
        </row>
        <row r="34">
          <cell r="B34" t="str">
            <v>Propulsion</v>
          </cell>
          <cell r="C34">
            <v>495</v>
          </cell>
          <cell r="D34">
            <v>252.5</v>
          </cell>
          <cell r="E34">
            <v>4258</v>
          </cell>
          <cell r="F34">
            <v>4969</v>
          </cell>
          <cell r="G34">
            <v>1749</v>
          </cell>
          <cell r="H34">
            <v>918.21</v>
          </cell>
          <cell r="I34">
            <v>191.44</v>
          </cell>
          <cell r="J34">
            <v>2425</v>
          </cell>
          <cell r="K34">
            <v>2347</v>
          </cell>
          <cell r="L34">
            <v>1125</v>
          </cell>
          <cell r="M34">
            <v>1095</v>
          </cell>
          <cell r="N34">
            <v>0.33656889746635571</v>
          </cell>
        </row>
        <row r="35">
          <cell r="B35" t="str">
            <v>Power</v>
          </cell>
          <cell r="H35">
            <v>663</v>
          </cell>
          <cell r="I35">
            <v>41.18</v>
          </cell>
          <cell r="J35">
            <v>553</v>
          </cell>
          <cell r="K35">
            <v>553</v>
          </cell>
          <cell r="L35">
            <v>553</v>
          </cell>
          <cell r="M35">
            <v>553</v>
          </cell>
          <cell r="N35">
            <v>7.5969434172969447E-2</v>
          </cell>
        </row>
        <row r="36">
          <cell r="B36" t="str">
            <v>Avionics</v>
          </cell>
          <cell r="C36">
            <v>29</v>
          </cell>
          <cell r="D36">
            <v>120.1</v>
          </cell>
          <cell r="E36">
            <v>934</v>
          </cell>
          <cell r="F36">
            <v>307</v>
          </cell>
          <cell r="G36">
            <v>1083</v>
          </cell>
          <cell r="H36">
            <v>258.7</v>
          </cell>
          <cell r="I36">
            <v>76.080000000000013</v>
          </cell>
          <cell r="J36">
            <v>594</v>
          </cell>
          <cell r="K36">
            <v>594</v>
          </cell>
          <cell r="L36">
            <v>594</v>
          </cell>
          <cell r="M36">
            <v>594</v>
          </cell>
          <cell r="N36">
            <v>8.8006031540638602E-2</v>
          </cell>
        </row>
        <row r="37">
          <cell r="B37" t="str">
            <v>Thermal Protection</v>
          </cell>
          <cell r="C37">
            <v>404</v>
          </cell>
          <cell r="D37">
            <v>113.5</v>
          </cell>
          <cell r="E37">
            <v>2017</v>
          </cell>
          <cell r="F37">
            <v>420</v>
          </cell>
          <cell r="G37">
            <v>0</v>
          </cell>
          <cell r="H37">
            <v>459.04</v>
          </cell>
          <cell r="I37">
            <v>0</v>
          </cell>
          <cell r="J37">
            <v>1072</v>
          </cell>
          <cell r="K37">
            <v>1066</v>
          </cell>
          <cell r="L37">
            <v>1049</v>
          </cell>
          <cell r="M37">
            <v>1046</v>
          </cell>
          <cell r="N37">
            <v>0.12981427818868393</v>
          </cell>
        </row>
        <row r="38">
          <cell r="B38" t="str">
            <v>Other</v>
          </cell>
          <cell r="N38">
            <v>9.4034855880845494E-2</v>
          </cell>
        </row>
        <row r="39">
          <cell r="C39">
            <v>2027</v>
          </cell>
          <cell r="D39">
            <v>1200.7</v>
          </cell>
          <cell r="E39">
            <v>9823</v>
          </cell>
          <cell r="F39">
            <v>9320</v>
          </cell>
          <cell r="G39">
            <v>5858</v>
          </cell>
          <cell r="H39">
            <v>3485.29</v>
          </cell>
          <cell r="I39">
            <v>353.70000000000005</v>
          </cell>
          <cell r="J39">
            <v>7542</v>
          </cell>
          <cell r="K39">
            <v>7412</v>
          </cell>
          <cell r="L39">
            <v>5970</v>
          </cell>
          <cell r="M39">
            <v>5912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FB49-016A-4FAD-9C59-A85955BB90FC}">
  <dimension ref="A1:AE135"/>
  <sheetViews>
    <sheetView tabSelected="1" topLeftCell="A36" zoomScale="40" zoomScaleNormal="40" workbookViewId="0">
      <selection activeCell="P29" sqref="P29"/>
    </sheetView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4" t="s">
        <v>13</v>
      </c>
      <c r="C4" s="3">
        <v>3757</v>
      </c>
      <c r="D4" s="2">
        <f>404.8+28.8+99.3</f>
        <v>532.9</v>
      </c>
      <c r="E4" s="3">
        <v>1770</v>
      </c>
      <c r="F4" s="2">
        <v>460</v>
      </c>
      <c r="G4" s="3">
        <v>2441</v>
      </c>
      <c r="H4" s="3">
        <v>2822</v>
      </c>
      <c r="I4" s="3">
        <v>1113</v>
      </c>
      <c r="J4" s="3">
        <v>2015</v>
      </c>
      <c r="K4" s="3">
        <v>1985</v>
      </c>
      <c r="L4" s="3">
        <v>1877</v>
      </c>
      <c r="M4" s="3">
        <v>1860</v>
      </c>
      <c r="N4" s="5">
        <f t="shared" ref="N4:N12" si="0">SUM(C4:M4)/SUM($C$13:$M$13)</f>
        <v>0.37014532844659487</v>
      </c>
      <c r="O4" s="4" t="s">
        <v>13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 t="s">
        <v>14</v>
      </c>
      <c r="C5" s="3">
        <v>1219</v>
      </c>
      <c r="D5" s="2">
        <v>252.5</v>
      </c>
      <c r="E5" s="3">
        <v>4969</v>
      </c>
      <c r="F5" s="2">
        <v>495</v>
      </c>
      <c r="G5" s="3">
        <v>983</v>
      </c>
      <c r="H5" s="3">
        <v>1749</v>
      </c>
      <c r="I5" s="3">
        <v>2362</v>
      </c>
      <c r="J5" s="3">
        <v>2425</v>
      </c>
      <c r="K5" s="3">
        <v>2347</v>
      </c>
      <c r="L5" s="3">
        <v>1125</v>
      </c>
      <c r="M5" s="3">
        <v>1095</v>
      </c>
      <c r="N5" s="5">
        <f t="shared" si="0"/>
        <v>0.34123750733279873</v>
      </c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 t="s">
        <v>15</v>
      </c>
      <c r="C6" s="2">
        <v>400</v>
      </c>
      <c r="D6" s="2">
        <v>125.7</v>
      </c>
      <c r="E6" s="2">
        <v>385</v>
      </c>
      <c r="F6" s="2">
        <v>366</v>
      </c>
      <c r="G6" s="2">
        <v>741</v>
      </c>
      <c r="H6" s="2">
        <v>204</v>
      </c>
      <c r="I6" s="2">
        <v>468</v>
      </c>
      <c r="J6" s="2">
        <v>553</v>
      </c>
      <c r="K6" s="2">
        <v>553</v>
      </c>
      <c r="L6" s="2">
        <v>553</v>
      </c>
      <c r="M6" s="2">
        <v>553</v>
      </c>
      <c r="N6" s="5">
        <f t="shared" si="0"/>
        <v>8.7934384233271795E-2</v>
      </c>
      <c r="O6" s="1" t="s">
        <v>15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 t="s">
        <v>16</v>
      </c>
      <c r="C7" s="2">
        <v>0</v>
      </c>
      <c r="D7" s="2"/>
      <c r="E7" s="2">
        <v>0</v>
      </c>
      <c r="F7" s="2">
        <v>194</v>
      </c>
      <c r="G7" s="2">
        <v>564</v>
      </c>
      <c r="H7" s="2">
        <v>0</v>
      </c>
      <c r="I7" s="3">
        <v>281</v>
      </c>
      <c r="J7" s="2">
        <v>777</v>
      </c>
      <c r="K7" s="3">
        <v>777</v>
      </c>
      <c r="L7" s="2">
        <v>777</v>
      </c>
      <c r="M7" s="2">
        <v>777</v>
      </c>
      <c r="N7" s="5">
        <f t="shared" si="0"/>
        <v>7.4395391683574716E-2</v>
      </c>
      <c r="O7" s="1" t="s">
        <v>16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 t="s">
        <v>17</v>
      </c>
      <c r="C8" s="2">
        <v>200</v>
      </c>
      <c r="D8" s="2">
        <v>120.1</v>
      </c>
      <c r="E8" s="2">
        <v>307</v>
      </c>
      <c r="F8" s="3">
        <v>29</v>
      </c>
      <c r="G8" s="2">
        <v>65</v>
      </c>
      <c r="H8" s="2">
        <v>818</v>
      </c>
      <c r="I8" s="2">
        <v>69</v>
      </c>
      <c r="J8" s="2">
        <v>594</v>
      </c>
      <c r="K8" s="2">
        <v>594</v>
      </c>
      <c r="L8" s="3">
        <v>594</v>
      </c>
      <c r="M8" s="2">
        <v>594</v>
      </c>
      <c r="N8" s="5">
        <f t="shared" si="0"/>
        <v>7.147303593116229E-2</v>
      </c>
      <c r="O8" s="1" t="s">
        <v>17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 t="s">
        <v>18</v>
      </c>
      <c r="C9" s="2">
        <v>0</v>
      </c>
      <c r="D9" s="3">
        <v>113.5</v>
      </c>
      <c r="E9" s="2">
        <v>420</v>
      </c>
      <c r="F9" s="2">
        <v>210</v>
      </c>
      <c r="G9" s="3">
        <v>57</v>
      </c>
      <c r="H9" s="2">
        <v>0</v>
      </c>
      <c r="I9" s="3">
        <v>88</v>
      </c>
      <c r="J9" s="2">
        <v>295</v>
      </c>
      <c r="K9" s="3">
        <v>289</v>
      </c>
      <c r="L9" s="2">
        <v>272</v>
      </c>
      <c r="M9" s="2">
        <v>269</v>
      </c>
      <c r="N9" s="5">
        <f t="shared" si="0"/>
        <v>3.6121321715668599E-2</v>
      </c>
      <c r="O9" s="1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 t="s">
        <v>19</v>
      </c>
      <c r="C10" s="2">
        <v>685</v>
      </c>
      <c r="D10" s="2"/>
      <c r="E10" s="2">
        <v>0</v>
      </c>
      <c r="F10" s="2">
        <v>0</v>
      </c>
      <c r="G10" s="2">
        <v>0</v>
      </c>
      <c r="H10" s="2">
        <v>265</v>
      </c>
      <c r="I10" s="2">
        <v>92</v>
      </c>
      <c r="J10" s="2">
        <v>0</v>
      </c>
      <c r="K10" s="2">
        <v>0</v>
      </c>
      <c r="L10" s="2">
        <v>0</v>
      </c>
      <c r="M10" s="2">
        <v>0</v>
      </c>
      <c r="N10" s="5">
        <f t="shared" si="0"/>
        <v>1.869303065692907E-2</v>
      </c>
      <c r="O10" s="1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 t="s">
        <v>20</v>
      </c>
      <c r="C11" s="2">
        <v>0</v>
      </c>
      <c r="D11" s="2">
        <v>0</v>
      </c>
      <c r="E11" s="3">
        <v>1878</v>
      </c>
      <c r="F11" s="2">
        <v>0</v>
      </c>
      <c r="G11" s="2">
        <v>703</v>
      </c>
      <c r="H11" s="2">
        <v>0</v>
      </c>
      <c r="I11" s="3">
        <v>1023</v>
      </c>
      <c r="J11" s="3">
        <v>1508</v>
      </c>
      <c r="K11" s="3">
        <v>1483</v>
      </c>
      <c r="L11" s="3">
        <v>1194</v>
      </c>
      <c r="M11" s="3">
        <v>1182</v>
      </c>
      <c r="N11" s="5">
        <f t="shared" si="0"/>
        <v>0.16093587142352273</v>
      </c>
      <c r="O11" s="1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thickBot="1" x14ac:dyDescent="0.3">
      <c r="A12" s="1"/>
      <c r="B12" s="1" t="s">
        <v>21</v>
      </c>
      <c r="C12" s="2">
        <v>431</v>
      </c>
      <c r="D12" s="2">
        <v>56</v>
      </c>
      <c r="E12" s="3">
        <v>1469</v>
      </c>
      <c r="F12" s="3">
        <v>273</v>
      </c>
      <c r="G12" s="2">
        <v>109</v>
      </c>
      <c r="H12" s="2">
        <v>0</v>
      </c>
      <c r="I12" s="3">
        <v>640</v>
      </c>
      <c r="J12" s="2">
        <v>883</v>
      </c>
      <c r="K12" s="3">
        <v>867</v>
      </c>
      <c r="L12" s="2">
        <v>772</v>
      </c>
      <c r="M12" s="2">
        <v>764</v>
      </c>
      <c r="N12" s="5">
        <f t="shared" si="0"/>
        <v>0.11237345876679818</v>
      </c>
      <c r="O12" s="1" t="s">
        <v>21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thickBot="1" x14ac:dyDescent="0.3">
      <c r="A13" s="1"/>
      <c r="B13" s="6" t="s">
        <v>22</v>
      </c>
      <c r="C13" s="7">
        <f t="shared" ref="C13:M13" si="1">SUM(C4:C10)</f>
        <v>6261</v>
      </c>
      <c r="D13" s="7">
        <f t="shared" si="1"/>
        <v>1144.7</v>
      </c>
      <c r="E13" s="7">
        <f t="shared" si="1"/>
        <v>7851</v>
      </c>
      <c r="F13" s="7">
        <f t="shared" si="1"/>
        <v>1754</v>
      </c>
      <c r="G13" s="7">
        <f t="shared" si="1"/>
        <v>4851</v>
      </c>
      <c r="H13" s="7">
        <f t="shared" si="1"/>
        <v>5858</v>
      </c>
      <c r="I13" s="7">
        <f t="shared" si="1"/>
        <v>4473</v>
      </c>
      <c r="J13" s="7">
        <f t="shared" si="1"/>
        <v>6659</v>
      </c>
      <c r="K13" s="7">
        <f t="shared" si="1"/>
        <v>6545</v>
      </c>
      <c r="L13" s="7">
        <f t="shared" si="1"/>
        <v>5198</v>
      </c>
      <c r="M13" s="8">
        <f t="shared" si="1"/>
        <v>5148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9" t="s">
        <v>23</v>
      </c>
      <c r="Y21" s="10"/>
      <c r="Z21" s="10"/>
      <c r="AA21" s="10"/>
      <c r="AB21" s="10"/>
      <c r="AC21" s="10"/>
      <c r="AD21" s="10"/>
      <c r="AE21" s="1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2" t="s">
        <v>24</v>
      </c>
      <c r="Y22" s="13" t="s">
        <v>25</v>
      </c>
      <c r="Z22" s="14" t="s">
        <v>26</v>
      </c>
      <c r="AA22" s="15" t="s">
        <v>27</v>
      </c>
      <c r="AB22" s="15" t="s">
        <v>28</v>
      </c>
      <c r="AC22" s="15" t="s">
        <v>29</v>
      </c>
      <c r="AD22" s="16" t="s">
        <v>30</v>
      </c>
      <c r="AE22" s="17" t="s">
        <v>31</v>
      </c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8" t="s">
        <v>4</v>
      </c>
      <c r="Y23" s="19">
        <f t="shared" ref="Y23:Y33" si="2">SUM(Z23:AE23)</f>
        <v>2027</v>
      </c>
      <c r="Z23" s="20">
        <v>460</v>
      </c>
      <c r="AA23" s="20">
        <v>495</v>
      </c>
      <c r="AB23" s="20">
        <v>366</v>
      </c>
      <c r="AC23" s="20">
        <v>29</v>
      </c>
      <c r="AD23" s="21">
        <f>210+194</f>
        <v>404</v>
      </c>
      <c r="AE23" s="22">
        <v>273</v>
      </c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3" t="s">
        <v>2</v>
      </c>
      <c r="Y24" s="24">
        <f t="shared" si="2"/>
        <v>1200.7</v>
      </c>
      <c r="Z24" s="25">
        <f>404.8+28.8+99.3</f>
        <v>532.9</v>
      </c>
      <c r="AA24" s="25">
        <v>252.5</v>
      </c>
      <c r="AB24" s="25">
        <v>125.7</v>
      </c>
      <c r="AC24" s="25">
        <v>120.1</v>
      </c>
      <c r="AD24" s="26">
        <v>113.5</v>
      </c>
      <c r="AE24" s="27">
        <v>56</v>
      </c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8" t="s">
        <v>32</v>
      </c>
      <c r="Y25" s="19">
        <f t="shared" si="2"/>
        <v>9823</v>
      </c>
      <c r="Z25" s="20">
        <v>1681</v>
      </c>
      <c r="AA25" s="20">
        <v>4258</v>
      </c>
      <c r="AB25" s="20">
        <v>478</v>
      </c>
      <c r="AC25" s="20">
        <v>934</v>
      </c>
      <c r="AD25" s="21">
        <v>2017</v>
      </c>
      <c r="AE25" s="22">
        <v>455</v>
      </c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3" t="s">
        <v>3</v>
      </c>
      <c r="Y26" s="24">
        <f t="shared" si="2"/>
        <v>9320</v>
      </c>
      <c r="Z26" s="25">
        <v>1770</v>
      </c>
      <c r="AA26" s="25">
        <v>4969</v>
      </c>
      <c r="AB26" s="25">
        <v>385</v>
      </c>
      <c r="AC26" s="25">
        <v>307</v>
      </c>
      <c r="AD26" s="26">
        <v>420</v>
      </c>
      <c r="AE26" s="27">
        <v>1469</v>
      </c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8" t="s">
        <v>6</v>
      </c>
      <c r="Y27" s="19">
        <f t="shared" si="2"/>
        <v>5858</v>
      </c>
      <c r="Z27" s="20">
        <v>2822</v>
      </c>
      <c r="AA27" s="20">
        <v>1749</v>
      </c>
      <c r="AB27" s="20">
        <v>204</v>
      </c>
      <c r="AC27" s="20">
        <f>818+265</f>
        <v>1083</v>
      </c>
      <c r="AD27" s="21">
        <v>0</v>
      </c>
      <c r="AE27" s="22">
        <v>0</v>
      </c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3" t="s">
        <v>33</v>
      </c>
      <c r="Y28" s="24">
        <f t="shared" si="2"/>
        <v>3485.29</v>
      </c>
      <c r="Z28" s="25">
        <v>1186.3399999999999</v>
      </c>
      <c r="AA28" s="25">
        <v>918.21</v>
      </c>
      <c r="AB28" s="25">
        <v>663</v>
      </c>
      <c r="AC28" s="25">
        <v>258.7</v>
      </c>
      <c r="AD28" s="26">
        <v>459.04</v>
      </c>
      <c r="AE28" s="27">
        <v>0</v>
      </c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8" t="s">
        <v>34</v>
      </c>
      <c r="Y29" s="19">
        <f t="shared" si="2"/>
        <v>353.70000000000005</v>
      </c>
      <c r="Z29" s="20">
        <v>45</v>
      </c>
      <c r="AA29" s="20">
        <f>108+51.2+32.24</f>
        <v>191.44</v>
      </c>
      <c r="AB29" s="20">
        <f>8.18+33</f>
        <v>41.18</v>
      </c>
      <c r="AC29" s="20">
        <f>25+18.84+32.24</f>
        <v>76.080000000000013</v>
      </c>
      <c r="AD29" s="21">
        <v>0</v>
      </c>
      <c r="AE29" s="22">
        <v>0</v>
      </c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3" t="s">
        <v>8</v>
      </c>
      <c r="Y30" s="24">
        <f t="shared" si="2"/>
        <v>7542</v>
      </c>
      <c r="Z30" s="25">
        <v>2015</v>
      </c>
      <c r="AA30" s="25">
        <v>2425</v>
      </c>
      <c r="AB30" s="25">
        <v>553</v>
      </c>
      <c r="AC30" s="25">
        <v>594</v>
      </c>
      <c r="AD30" s="26">
        <f>295+777</f>
        <v>1072</v>
      </c>
      <c r="AE30" s="27">
        <v>883</v>
      </c>
    </row>
    <row r="31" spans="1:31" x14ac:dyDescent="0.25">
      <c r="A31" s="1"/>
      <c r="B31" s="1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8" t="s">
        <v>9</v>
      </c>
      <c r="Y31" s="19">
        <f t="shared" si="2"/>
        <v>7412</v>
      </c>
      <c r="Z31" s="20">
        <v>1985</v>
      </c>
      <c r="AA31" s="20">
        <v>2347</v>
      </c>
      <c r="AB31" s="20">
        <v>553</v>
      </c>
      <c r="AC31" s="20">
        <v>594</v>
      </c>
      <c r="AD31" s="21">
        <f>289+777</f>
        <v>1066</v>
      </c>
      <c r="AE31" s="22">
        <v>867</v>
      </c>
    </row>
    <row r="32" spans="1:31" x14ac:dyDescent="0.25">
      <c r="A32" s="1"/>
      <c r="B32" s="1"/>
      <c r="C32" s="2" t="s">
        <v>4</v>
      </c>
      <c r="D32" s="2" t="s">
        <v>2</v>
      </c>
      <c r="E32" s="1" t="s">
        <v>32</v>
      </c>
      <c r="F32" s="2" t="s">
        <v>3</v>
      </c>
      <c r="G32" s="2" t="s">
        <v>6</v>
      </c>
      <c r="H32" s="2" t="s">
        <v>35</v>
      </c>
      <c r="I32" s="2" t="s">
        <v>36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12</v>
      </c>
      <c r="O32" s="1"/>
      <c r="P32" s="1"/>
      <c r="Q32" s="1"/>
      <c r="R32" s="1"/>
      <c r="S32" s="1"/>
      <c r="T32" s="1"/>
      <c r="U32" s="1"/>
      <c r="V32" s="1"/>
      <c r="W32" s="1"/>
      <c r="X32" s="23" t="s">
        <v>10</v>
      </c>
      <c r="Y32" s="24">
        <f t="shared" si="2"/>
        <v>5970</v>
      </c>
      <c r="Z32" s="25">
        <v>1877</v>
      </c>
      <c r="AA32" s="25">
        <v>1125</v>
      </c>
      <c r="AB32" s="25">
        <v>553</v>
      </c>
      <c r="AC32" s="25">
        <v>594</v>
      </c>
      <c r="AD32" s="26">
        <f>272+777</f>
        <v>1049</v>
      </c>
      <c r="AE32" s="27">
        <v>772</v>
      </c>
    </row>
    <row r="33" spans="1:31" ht="15.75" thickBot="1" x14ac:dyDescent="0.3">
      <c r="A33" s="1"/>
      <c r="B33" s="4" t="s">
        <v>13</v>
      </c>
      <c r="C33" s="2">
        <v>460</v>
      </c>
      <c r="D33" s="2">
        <f>404.8+28.8+99.3</f>
        <v>532.9</v>
      </c>
      <c r="E33" s="2">
        <v>1681</v>
      </c>
      <c r="F33" s="3">
        <v>1770</v>
      </c>
      <c r="G33" s="3">
        <v>2822</v>
      </c>
      <c r="H33" s="3">
        <v>1186.3399999999999</v>
      </c>
      <c r="I33" s="3">
        <v>45</v>
      </c>
      <c r="J33" s="3">
        <v>2015</v>
      </c>
      <c r="K33" s="3">
        <v>1985</v>
      </c>
      <c r="L33" s="3">
        <v>1877</v>
      </c>
      <c r="M33" s="3">
        <v>1860</v>
      </c>
      <c r="N33" s="5">
        <f>SUM(C33:M33)/SUM($C$39:$M$39)</f>
        <v>0.2756065027505068</v>
      </c>
      <c r="O33" s="1"/>
      <c r="P33" s="1"/>
      <c r="Q33" s="1"/>
      <c r="R33" s="1"/>
      <c r="S33" s="1"/>
      <c r="T33" s="1"/>
      <c r="U33" s="1"/>
      <c r="V33" s="1"/>
      <c r="W33" s="1"/>
      <c r="X33" s="18" t="s">
        <v>11</v>
      </c>
      <c r="Y33" s="19">
        <f t="shared" si="2"/>
        <v>5912</v>
      </c>
      <c r="Z33" s="20">
        <v>1860</v>
      </c>
      <c r="AA33" s="20">
        <v>1095</v>
      </c>
      <c r="AB33" s="20">
        <v>553</v>
      </c>
      <c r="AC33" s="20">
        <v>594</v>
      </c>
      <c r="AD33" s="21">
        <f>269+777</f>
        <v>1046</v>
      </c>
      <c r="AE33" s="22">
        <v>764</v>
      </c>
    </row>
    <row r="34" spans="1:31" ht="15.75" thickBot="1" x14ac:dyDescent="0.3">
      <c r="A34" s="1"/>
      <c r="B34" s="1" t="s">
        <v>14</v>
      </c>
      <c r="C34" s="2">
        <v>495</v>
      </c>
      <c r="D34" s="2">
        <v>252.5</v>
      </c>
      <c r="E34" s="2">
        <v>4258</v>
      </c>
      <c r="F34" s="3">
        <v>4969</v>
      </c>
      <c r="G34" s="3">
        <v>1749</v>
      </c>
      <c r="H34" s="2">
        <v>918.21</v>
      </c>
      <c r="I34" s="3">
        <f>108+51.2+32.24</f>
        <v>191.44</v>
      </c>
      <c r="J34" s="3">
        <v>2425</v>
      </c>
      <c r="K34" s="3">
        <v>2347</v>
      </c>
      <c r="L34" s="3">
        <v>1125</v>
      </c>
      <c r="M34" s="3">
        <v>1095</v>
      </c>
      <c r="N34" s="5">
        <f t="shared" ref="N34:N38" si="3">SUM(C34:M34)/SUM($C$39:$M$39)</f>
        <v>0.33656889746635571</v>
      </c>
      <c r="O34" s="1"/>
      <c r="P34" s="1"/>
      <c r="Q34" s="1"/>
      <c r="R34" s="1"/>
      <c r="S34" s="1"/>
      <c r="T34" s="1"/>
      <c r="U34" s="1"/>
      <c r="V34" s="1"/>
      <c r="W34" s="1"/>
      <c r="X34" s="28" t="s">
        <v>12</v>
      </c>
      <c r="Y34" s="29">
        <f t="shared" ref="Y34:AE34" si="4">SUM(Y23:Y33)/SUM($Y$23:$Y$33)</f>
        <v>1</v>
      </c>
      <c r="Z34" s="30">
        <f t="shared" si="4"/>
        <v>0.2756065027505068</v>
      </c>
      <c r="AA34" s="30">
        <f t="shared" si="4"/>
        <v>0.33656889746635571</v>
      </c>
      <c r="AB34" s="30">
        <f t="shared" si="4"/>
        <v>7.5969434172969447E-2</v>
      </c>
      <c r="AC34" s="30">
        <f t="shared" si="4"/>
        <v>8.8006031540638602E-2</v>
      </c>
      <c r="AD34" s="31">
        <f t="shared" si="4"/>
        <v>0.12981427818868393</v>
      </c>
      <c r="AE34" s="32">
        <f t="shared" si="4"/>
        <v>9.4034855880845494E-2</v>
      </c>
    </row>
    <row r="35" spans="1:31" x14ac:dyDescent="0.25">
      <c r="A35" s="1"/>
      <c r="B35" s="1" t="s">
        <v>15</v>
      </c>
      <c r="C35" s="2">
        <v>366</v>
      </c>
      <c r="D35" s="2">
        <v>125.7</v>
      </c>
      <c r="E35" s="2">
        <v>478</v>
      </c>
      <c r="F35" s="2">
        <v>385</v>
      </c>
      <c r="G35" s="2">
        <v>204</v>
      </c>
      <c r="H35" s="2">
        <v>663</v>
      </c>
      <c r="I35" s="2">
        <f>8.18+33</f>
        <v>41.18</v>
      </c>
      <c r="J35" s="2">
        <v>553</v>
      </c>
      <c r="K35" s="2">
        <v>553</v>
      </c>
      <c r="L35" s="2">
        <v>553</v>
      </c>
      <c r="M35" s="2">
        <v>553</v>
      </c>
      <c r="N35" s="5">
        <f t="shared" si="3"/>
        <v>7.5969434172969447E-2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 t="s">
        <v>17</v>
      </c>
      <c r="C36" s="3">
        <v>29</v>
      </c>
      <c r="D36" s="2">
        <v>120.1</v>
      </c>
      <c r="E36" s="2">
        <v>934</v>
      </c>
      <c r="F36" s="2">
        <v>307</v>
      </c>
      <c r="G36" s="2">
        <f>818+265</f>
        <v>1083</v>
      </c>
      <c r="H36" s="2">
        <v>258.7</v>
      </c>
      <c r="I36" s="3">
        <f>25+18.84+32.24</f>
        <v>76.080000000000013</v>
      </c>
      <c r="J36" s="2">
        <v>594</v>
      </c>
      <c r="K36" s="2">
        <v>594</v>
      </c>
      <c r="L36" s="3">
        <v>594</v>
      </c>
      <c r="M36" s="2">
        <v>594</v>
      </c>
      <c r="N36" s="5">
        <f t="shared" si="3"/>
        <v>8.8006031540638602E-2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 t="s">
        <v>37</v>
      </c>
      <c r="C37" s="2">
        <f>210+194</f>
        <v>404</v>
      </c>
      <c r="D37" s="3">
        <v>113.5</v>
      </c>
      <c r="E37" s="2">
        <v>2017</v>
      </c>
      <c r="F37" s="2">
        <v>420</v>
      </c>
      <c r="G37" s="2">
        <v>0</v>
      </c>
      <c r="H37" s="2">
        <v>459.04</v>
      </c>
      <c r="I37" s="3">
        <v>0</v>
      </c>
      <c r="J37" s="2">
        <f>295+777</f>
        <v>1072</v>
      </c>
      <c r="K37" s="3">
        <f>289+777</f>
        <v>1066</v>
      </c>
      <c r="L37" s="2">
        <f>272+777</f>
        <v>1049</v>
      </c>
      <c r="M37" s="2">
        <f>269+777</f>
        <v>1046</v>
      </c>
      <c r="N37" s="5">
        <f t="shared" si="3"/>
        <v>0.12981427818868393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thickBot="1" x14ac:dyDescent="0.3">
      <c r="A38" s="1"/>
      <c r="B38" s="1" t="s">
        <v>21</v>
      </c>
      <c r="C38" s="3">
        <v>273</v>
      </c>
      <c r="D38" s="2">
        <v>56</v>
      </c>
      <c r="E38" s="2">
        <v>455</v>
      </c>
      <c r="F38" s="3">
        <v>1469</v>
      </c>
      <c r="G38" s="2">
        <v>0</v>
      </c>
      <c r="H38" s="2">
        <v>0</v>
      </c>
      <c r="I38" s="3">
        <v>0</v>
      </c>
      <c r="J38" s="2">
        <v>883</v>
      </c>
      <c r="K38" s="3">
        <v>867</v>
      </c>
      <c r="L38" s="2">
        <v>772</v>
      </c>
      <c r="M38" s="2">
        <v>764</v>
      </c>
      <c r="N38" s="5">
        <f t="shared" si="3"/>
        <v>9.4034855880845494E-2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thickBot="1" x14ac:dyDescent="0.3">
      <c r="A39" s="1"/>
      <c r="B39" s="6" t="s">
        <v>38</v>
      </c>
      <c r="C39" s="33">
        <f>SUM(C33:C38)</f>
        <v>2027</v>
      </c>
      <c r="D39" s="33">
        <f t="shared" ref="D39:M39" si="5">SUM(D33:D38)</f>
        <v>1200.7</v>
      </c>
      <c r="E39" s="33">
        <f t="shared" si="5"/>
        <v>9823</v>
      </c>
      <c r="F39" s="33">
        <f t="shared" si="5"/>
        <v>9320</v>
      </c>
      <c r="G39" s="33">
        <f t="shared" si="5"/>
        <v>5858</v>
      </c>
      <c r="H39" s="33">
        <f t="shared" si="5"/>
        <v>3485.29</v>
      </c>
      <c r="I39" s="33">
        <f t="shared" si="5"/>
        <v>353.70000000000005</v>
      </c>
      <c r="J39" s="33">
        <f t="shared" si="5"/>
        <v>7542</v>
      </c>
      <c r="K39" s="33">
        <f t="shared" si="5"/>
        <v>7412</v>
      </c>
      <c r="L39" s="33">
        <f t="shared" si="5"/>
        <v>5970</v>
      </c>
      <c r="M39" s="33">
        <f t="shared" si="5"/>
        <v>5912</v>
      </c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4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 t="s">
        <v>39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 t="s">
        <v>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 t="s">
        <v>41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</sheetData>
  <mergeCells count="1">
    <mergeCell ref="X21:A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2023-03-31T14:27:15Z</dcterms:created>
  <dcterms:modified xsi:type="dcterms:W3CDTF">2023-03-31T14:29:38Z</dcterms:modified>
</cp:coreProperties>
</file>