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all De Paor\Desktop\Supaero\Research Project\Sizing-Tool\"/>
    </mc:Choice>
  </mc:AlternateContent>
  <xr:revisionPtr revIDLastSave="0" documentId="13_ncr:1_{E6CE5A73-0696-48B0-9482-73A23827F555}" xr6:coauthVersionLast="47" xr6:coauthVersionMax="47" xr10:uidLastSave="{00000000-0000-0000-0000-000000000000}"/>
  <bookViews>
    <workbookView xWindow="-120" yWindow="-120" windowWidth="21840" windowHeight="13140" activeTab="6" xr2:uid="{B3BF74C1-D929-4CA0-B8BF-5D4C53CAF46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ander ss sizing" sheetId="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7" l="1"/>
  <c r="H27" i="7"/>
  <c r="I23" i="7"/>
  <c r="I26" i="7"/>
  <c r="I15" i="7"/>
  <c r="I25" i="7" s="1"/>
  <c r="I24" i="7"/>
  <c r="I20" i="7"/>
  <c r="K21" i="7"/>
  <c r="L9" i="5"/>
  <c r="L8" i="5"/>
  <c r="L7" i="5"/>
  <c r="L6" i="5"/>
  <c r="L5" i="5"/>
  <c r="L4" i="5"/>
  <c r="L5" i="4"/>
  <c r="L13" i="4" s="1"/>
  <c r="K5" i="4"/>
  <c r="AF76" i="1"/>
  <c r="AF77" i="1" s="1"/>
  <c r="AF78" i="1" s="1"/>
  <c r="AF71" i="1"/>
  <c r="AF72" i="1" s="1"/>
  <c r="AF73" i="1" s="1"/>
  <c r="AE76" i="1"/>
  <c r="AE71" i="1"/>
  <c r="I22" i="7" l="1"/>
  <c r="L11" i="5"/>
  <c r="AF80" i="1"/>
  <c r="Z79" i="1" l="1"/>
  <c r="Z74" i="1"/>
  <c r="Y79" i="1"/>
  <c r="Y74" i="1"/>
  <c r="Z6" i="1"/>
  <c r="Z5" i="1"/>
  <c r="T83" i="1"/>
  <c r="T78" i="1"/>
  <c r="S83" i="1"/>
  <c r="S78" i="1"/>
  <c r="M81" i="1"/>
  <c r="M76" i="1"/>
  <c r="L81" i="1"/>
  <c r="L76" i="1"/>
  <c r="F80" i="1"/>
  <c r="F75" i="1"/>
  <c r="G80" i="1"/>
  <c r="G75" i="1"/>
  <c r="F12" i="6"/>
  <c r="F11" i="6"/>
  <c r="F10" i="6"/>
  <c r="F9" i="6"/>
  <c r="F8" i="6"/>
  <c r="F7" i="6"/>
  <c r="F6" i="6"/>
  <c r="G8" i="1"/>
  <c r="K6" i="4" l="1"/>
  <c r="K7" i="4"/>
  <c r="K8" i="4"/>
  <c r="K9" i="4"/>
  <c r="K10" i="4"/>
  <c r="K4" i="4"/>
  <c r="AF64" i="1"/>
  <c r="AF65" i="1" s="1"/>
  <c r="H8" i="5" s="1"/>
  <c r="Z67" i="1"/>
  <c r="Z66" i="1"/>
  <c r="Z62" i="1"/>
  <c r="Z65" i="1" s="1"/>
  <c r="T70" i="1"/>
  <c r="T69" i="1"/>
  <c r="T67" i="1"/>
  <c r="T65" i="1"/>
  <c r="M68" i="1"/>
  <c r="G68" i="1"/>
  <c r="G63" i="1"/>
  <c r="L9" i="4" l="1"/>
  <c r="L4" i="4"/>
  <c r="L7" i="4"/>
  <c r="L10" i="4"/>
  <c r="L6" i="4"/>
  <c r="L8" i="4"/>
  <c r="Z68" i="1"/>
  <c r="G8" i="5"/>
  <c r="G62" i="1"/>
  <c r="AF58" i="1"/>
  <c r="AF59" i="1" s="1"/>
  <c r="H9" i="5" s="1"/>
  <c r="Z58" i="1"/>
  <c r="Z59" i="1" s="1"/>
  <c r="G9" i="5" s="1"/>
  <c r="P9" i="5" s="1"/>
  <c r="T60" i="1"/>
  <c r="T61" i="1" s="1"/>
  <c r="F9" i="5" s="1"/>
  <c r="M60" i="1"/>
  <c r="M61" i="1" s="1"/>
  <c r="E9" i="5" s="1"/>
  <c r="G60" i="1"/>
  <c r="G61" i="1" s="1"/>
  <c r="D9" i="5" s="1"/>
  <c r="J31" i="3"/>
  <c r="J30" i="3"/>
  <c r="G30" i="3"/>
  <c r="F30" i="3"/>
  <c r="E30" i="3"/>
  <c r="AF11" i="1"/>
  <c r="H30" i="3" s="1"/>
  <c r="AF8" i="1"/>
  <c r="D30" i="3" s="1"/>
  <c r="AF12" i="1"/>
  <c r="AF13" i="1" s="1"/>
  <c r="J26" i="3"/>
  <c r="J25" i="3"/>
  <c r="H25" i="3"/>
  <c r="E25" i="3"/>
  <c r="M9" i="5" l="1"/>
  <c r="Q9" i="5"/>
  <c r="N9" i="5"/>
  <c r="O9" i="5"/>
  <c r="AF14" i="1"/>
  <c r="F31" i="3" s="1"/>
  <c r="E31" i="3"/>
  <c r="D31" i="3"/>
  <c r="AF17" i="1" l="1"/>
  <c r="AF18" i="1"/>
  <c r="H31" i="3" s="1"/>
  <c r="AF49" i="1"/>
  <c r="AF47" i="1"/>
  <c r="AF50" i="1"/>
  <c r="Z10" i="1"/>
  <c r="Z14" i="1" s="1"/>
  <c r="J21" i="3"/>
  <c r="J20" i="3"/>
  <c r="J19" i="3"/>
  <c r="H19" i="3"/>
  <c r="E19" i="3"/>
  <c r="T10" i="1"/>
  <c r="T15" i="1" s="1"/>
  <c r="T64" i="1" s="1"/>
  <c r="J15" i="3"/>
  <c r="E14" i="3"/>
  <c r="J14" i="3"/>
  <c r="H14" i="3"/>
  <c r="AF46" i="1" l="1"/>
  <c r="AF81" i="1"/>
  <c r="H4" i="5" s="1"/>
  <c r="AF82" i="1"/>
  <c r="H5" i="5" s="1"/>
  <c r="G31" i="3"/>
  <c r="AF51" i="1"/>
  <c r="G19" i="3"/>
  <c r="G25" i="3"/>
  <c r="Z12" i="1"/>
  <c r="T13" i="1"/>
  <c r="H7" i="5" l="1"/>
  <c r="H6" i="5"/>
  <c r="F25" i="3"/>
  <c r="Z16" i="1"/>
  <c r="Z4" i="1" s="1"/>
  <c r="Z80" i="1" s="1"/>
  <c r="Z81" i="1" s="1"/>
  <c r="Z15" i="1"/>
  <c r="D25" i="3" s="1"/>
  <c r="T19" i="1"/>
  <c r="T22" i="1" s="1"/>
  <c r="F19" i="3"/>
  <c r="T16" i="1"/>
  <c r="D19" i="3" s="1"/>
  <c r="T23" i="1" l="1"/>
  <c r="Z51" i="1"/>
  <c r="Z49" i="1"/>
  <c r="F26" i="3"/>
  <c r="Z17" i="1"/>
  <c r="Z3" i="1" s="1"/>
  <c r="Z75" i="1" s="1"/>
  <c r="Z76" i="1" s="1"/>
  <c r="Z83" i="1" s="1"/>
  <c r="T27" i="1"/>
  <c r="T4" i="1" s="1"/>
  <c r="F20" i="3"/>
  <c r="T25" i="1"/>
  <c r="T24" i="1"/>
  <c r="T84" i="1" l="1"/>
  <c r="T85" i="1" s="1"/>
  <c r="T50" i="1"/>
  <c r="Z85" i="1"/>
  <c r="G5" i="5" s="1"/>
  <c r="Z84" i="1"/>
  <c r="G4" i="5" s="1"/>
  <c r="Z48" i="1"/>
  <c r="G7" i="5"/>
  <c r="G6" i="5"/>
  <c r="Z50" i="1"/>
  <c r="T52" i="1"/>
  <c r="T51" i="1"/>
  <c r="E26" i="3"/>
  <c r="Z47" i="1"/>
  <c r="T18" i="1"/>
  <c r="H20" i="3" s="1"/>
  <c r="Z20" i="1"/>
  <c r="Z22" i="1"/>
  <c r="H26" i="3" s="1"/>
  <c r="F21" i="3"/>
  <c r="T28" i="1"/>
  <c r="T26" i="1"/>
  <c r="D20" i="3" s="1"/>
  <c r="E20" i="3"/>
  <c r="G20" i="3"/>
  <c r="O14" i="1"/>
  <c r="O16" i="1" s="1"/>
  <c r="O20" i="1" s="1"/>
  <c r="O21" i="1" s="1"/>
  <c r="O24" i="1" s="1"/>
  <c r="O25" i="1" s="1"/>
  <c r="M10" i="1"/>
  <c r="M12" i="1" s="1"/>
  <c r="I8" i="2"/>
  <c r="I7" i="2"/>
  <c r="I6" i="2"/>
  <c r="I5" i="2"/>
  <c r="E21" i="3" l="1"/>
  <c r="T3" i="1"/>
  <c r="T79" i="1" s="1"/>
  <c r="T80" i="1" s="1"/>
  <c r="T87" i="1" s="1"/>
  <c r="T53" i="1"/>
  <c r="F9" i="3"/>
  <c r="G51" i="1"/>
  <c r="G52" i="1"/>
  <c r="T31" i="1"/>
  <c r="T32" i="1"/>
  <c r="H21" i="3" s="1"/>
  <c r="Z21" i="1"/>
  <c r="D26" i="3" s="1"/>
  <c r="G26" i="3"/>
  <c r="Z46" i="1"/>
  <c r="M16" i="1"/>
  <c r="F14" i="3"/>
  <c r="O18" i="1"/>
  <c r="O19" i="1" s="1"/>
  <c r="G7" i="1"/>
  <c r="G49" i="1" s="1"/>
  <c r="M14" i="1"/>
  <c r="M64" i="1" l="1"/>
  <c r="M67" i="1" s="1"/>
  <c r="M4" i="1"/>
  <c r="M82" i="1" s="1"/>
  <c r="M83" i="1" s="1"/>
  <c r="T49" i="1"/>
  <c r="T89" i="1"/>
  <c r="F5" i="5" s="1"/>
  <c r="T88" i="1"/>
  <c r="F4" i="5" s="1"/>
  <c r="M70" i="1"/>
  <c r="E8" i="5"/>
  <c r="F7" i="5"/>
  <c r="F6" i="5"/>
  <c r="G3" i="1"/>
  <c r="G76" i="1" s="1"/>
  <c r="G77" i="1" s="1"/>
  <c r="G21" i="3"/>
  <c r="T66" i="1"/>
  <c r="T68" i="1" s="1"/>
  <c r="T33" i="1"/>
  <c r="D21" i="3" s="1"/>
  <c r="T48" i="1"/>
  <c r="M51" i="1"/>
  <c r="M50" i="1"/>
  <c r="M52" i="1"/>
  <c r="G11" i="1"/>
  <c r="H9" i="3"/>
  <c r="E9" i="3"/>
  <c r="M15" i="1"/>
  <c r="D14" i="3" s="1"/>
  <c r="G14" i="3"/>
  <c r="M17" i="1"/>
  <c r="M3" i="1" s="1"/>
  <c r="M77" i="1" s="1"/>
  <c r="M78" i="1" s="1"/>
  <c r="M85" i="1" s="1"/>
  <c r="E15" i="3"/>
  <c r="M87" i="1" l="1"/>
  <c r="E5" i="5" s="1"/>
  <c r="M86" i="1"/>
  <c r="E4" i="5" s="1"/>
  <c r="T72" i="1"/>
  <c r="F8" i="5"/>
  <c r="G9" i="3"/>
  <c r="G4" i="1"/>
  <c r="G81" i="1" s="1"/>
  <c r="G82" i="1" s="1"/>
  <c r="G84" i="1" s="1"/>
  <c r="G16" i="1"/>
  <c r="D9" i="3" s="1"/>
  <c r="M20" i="1"/>
  <c r="M49" i="1"/>
  <c r="M53" i="1"/>
  <c r="G12" i="1"/>
  <c r="G13" i="1" s="1"/>
  <c r="G14" i="1" s="1"/>
  <c r="G15" i="1" s="1"/>
  <c r="G48" i="1"/>
  <c r="G50" i="1" s="1"/>
  <c r="F15" i="3"/>
  <c r="M21" i="1"/>
  <c r="H15" i="3" s="1"/>
  <c r="G86" i="1" l="1"/>
  <c r="D5" i="5" s="1"/>
  <c r="G85" i="1"/>
  <c r="D4" i="5" s="1"/>
  <c r="N4" i="5"/>
  <c r="N5" i="5"/>
  <c r="E7" i="5"/>
  <c r="E6" i="5"/>
  <c r="G53" i="1"/>
  <c r="D6" i="5" s="1"/>
  <c r="G64" i="1"/>
  <c r="M48" i="1"/>
  <c r="G15" i="3"/>
  <c r="M22" i="1"/>
  <c r="D15" i="3" s="1"/>
  <c r="O4" i="5" l="1"/>
  <c r="Q4" i="5"/>
  <c r="P4" i="5"/>
  <c r="Q5" i="5"/>
  <c r="P5" i="5"/>
  <c r="O5" i="5"/>
  <c r="N6" i="5"/>
  <c r="M6" i="5"/>
  <c r="Q6" i="5"/>
  <c r="P6" i="5"/>
  <c r="O6" i="5"/>
  <c r="D7" i="5"/>
  <c r="G67" i="1"/>
  <c r="M7" i="5" l="1"/>
  <c r="Q7" i="5"/>
  <c r="P7" i="5"/>
  <c r="O7" i="5"/>
  <c r="N7" i="5"/>
  <c r="G69" i="1"/>
  <c r="D8" i="5"/>
  <c r="M8" i="5" l="1"/>
  <c r="Q8" i="5"/>
  <c r="Q11" i="5" s="1"/>
  <c r="P8" i="5"/>
  <c r="P11" i="5" s="1"/>
  <c r="N8" i="5"/>
  <c r="N11" i="5" s="1"/>
  <c r="O8" i="5"/>
  <c r="O11" i="5" s="1"/>
  <c r="M5" i="5" l="1"/>
  <c r="M11" i="5"/>
  <c r="M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Y60" authorId="0" shapeId="0" xr:uid="{0FFB5F66-2186-42D0-B5E0-29F4B61C12B1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</t>
        </r>
      </text>
    </comment>
    <comment ref="AE60" authorId="0" shapeId="0" xr:uid="{B103B3F7-DE84-48D0-8AB2-9A6EAD21AA0F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</t>
        </r>
      </text>
    </comment>
    <comment ref="F62" authorId="0" shapeId="0" xr:uid="{7964A894-656C-4DE2-9193-758DBDBC7F36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 docked in 3 hrs
</t>
        </r>
      </text>
    </comment>
    <comment ref="L62" authorId="0" shapeId="0" xr:uid="{621C8FA9-5FC9-4225-AB70-0FA1C35EA764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</t>
        </r>
      </text>
    </comment>
    <comment ref="S62" authorId="0" shapeId="0" xr:uid="{4AB48D5D-DB46-40CF-95EA-1D7F3C0381E3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Progress, July 2019</t>
        </r>
      </text>
    </comment>
    <comment ref="M65" authorId="0" shapeId="0" xr:uid="{E26F5107-DC12-4A0C-BA5B-1D5B93E886D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from https://ntrs.nasa.gov/api/citations/20150019648/downloads/20150019648.pdf
</t>
        </r>
      </text>
    </comment>
    <comment ref="M66" authorId="0" shapeId="0" xr:uid="{866DF405-32DD-43F7-935C-000D84CAE0F4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https://ntrs.nasa.gov/api/citations/20150019648/downloads/20150019648.pdf</t>
        </r>
      </text>
    </comment>
    <comment ref="T67" authorId="0" shapeId="0" xr:uid="{62738FD6-303C-4DF5-8A93-45A6763DDB6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Apollo took this long from seperation to landing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I18" authorId="0" shapeId="0" xr:uid="{98489982-B4F5-4012-B74B-AE2332D3FFF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page 347 SSE Fortescue
Using Li SOCL2 battery from Sojourner</t>
        </r>
      </text>
    </comment>
    <comment ref="I20" authorId="0" shapeId="0" xr:uid="{0127F14F-B8CA-49B8-8D06-24140105D0E7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https://www.hq.nasa.gov/alsj/alsj-Tapemeters.html</t>
        </r>
      </text>
    </comment>
  </commentList>
</comments>
</file>

<file path=xl/sharedStrings.xml><?xml version="1.0" encoding="utf-8"?>
<sst xmlns="http://schemas.openxmlformats.org/spreadsheetml/2006/main" count="677" uniqueCount="264">
  <si>
    <t>TV design ref</t>
  </si>
  <si>
    <t>Isp [s]</t>
  </si>
  <si>
    <t>TV</t>
  </si>
  <si>
    <t>Lander</t>
  </si>
  <si>
    <t>TV Isp</t>
  </si>
  <si>
    <t>Transfer dV req. [m/s]</t>
  </si>
  <si>
    <t>TV Ec [J]</t>
  </si>
  <si>
    <t>TV payload [kg]</t>
  </si>
  <si>
    <t>mdry [kg]</t>
  </si>
  <si>
    <t>mp [kg]</t>
  </si>
  <si>
    <t>dv [m/s]</t>
  </si>
  <si>
    <t>mprop [kg]</t>
  </si>
  <si>
    <t>mtotal [kg]</t>
  </si>
  <si>
    <t>Falcon 2s</t>
  </si>
  <si>
    <t>TV inert mass</t>
  </si>
  <si>
    <t>TV dry mass</t>
  </si>
  <si>
    <t>Characteristic energy of Upper Stages</t>
  </si>
  <si>
    <t>Stage name</t>
  </si>
  <si>
    <t>Dry mass</t>
  </si>
  <si>
    <t>prop mass</t>
  </si>
  <si>
    <t>Prop</t>
  </si>
  <si>
    <t>example payload kg</t>
  </si>
  <si>
    <t>corresponding dV [m/s]</t>
  </si>
  <si>
    <t>Characteristic Energy</t>
  </si>
  <si>
    <t>sources</t>
  </si>
  <si>
    <t>DCSS 5m</t>
  </si>
  <si>
    <t>LOX/LH2</t>
  </si>
  <si>
    <t>Delta IV payload planners guide</t>
  </si>
  <si>
    <t>Centaur</t>
  </si>
  <si>
    <t>AtlasV user guide</t>
  </si>
  <si>
    <t>LOX/RP1</t>
  </si>
  <si>
    <t>Starlink launch on 11/11/2019 Telemetry And Spaceflight Insider</t>
  </si>
  <si>
    <t>Ariane 5 2S</t>
  </si>
  <si>
    <t>VA237 Telemetry and Ariane 5 User Manual</t>
  </si>
  <si>
    <t>TV prop req</t>
  </si>
  <si>
    <t>mp = 2.1809 * mdry</t>
  </si>
  <si>
    <t>LOPG-Surface-LOPG</t>
  </si>
  <si>
    <t>assume up=down</t>
  </si>
  <si>
    <t>notes</t>
  </si>
  <si>
    <t>Falcon Heavy</t>
  </si>
  <si>
    <t>Total TV mass</t>
  </si>
  <si>
    <t>dV to LEO + TLI to LOPG</t>
  </si>
  <si>
    <t>MA1</t>
  </si>
  <si>
    <t>TLV</t>
  </si>
  <si>
    <t>LEO-LOPG-Surface-LOPG-LEO
dV is from the landing case</t>
  </si>
  <si>
    <t>dV req [m/s]</t>
  </si>
  <si>
    <t>Tsiolkovsky</t>
  </si>
  <si>
    <t>Building Block</t>
  </si>
  <si>
    <t>Launcher</t>
  </si>
  <si>
    <t>Ec [J]</t>
  </si>
  <si>
    <t>MA2</t>
  </si>
  <si>
    <t>without LEO refuelling</t>
  </si>
  <si>
    <t>LOX/CH4</t>
  </si>
  <si>
    <t>Ec[J]</t>
  </si>
  <si>
    <t>TV2</t>
  </si>
  <si>
    <t>falcon 2s (scaled)</t>
  </si>
  <si>
    <t>LOPG-LLO-LOPG</t>
  </si>
  <si>
    <t>TV engine mass</t>
  </si>
  <si>
    <t>mdry= (mdry_ref - mengine_ref)/(mprop_ref/mprop_req) + mengine_ref</t>
  </si>
  <si>
    <t>TV2 design ref</t>
  </si>
  <si>
    <t>TV2 payload [kg]</t>
  </si>
  <si>
    <t>TV2 dry mass 1</t>
  </si>
  <si>
    <t>TV2 dry mass 2</t>
  </si>
  <si>
    <t>TV2 dry mass 3</t>
  </si>
  <si>
    <t>TV2 total mass</t>
  </si>
  <si>
    <t>TV2 Isp</t>
  </si>
  <si>
    <t>TV1 Isp</t>
  </si>
  <si>
    <t>MA3</t>
  </si>
  <si>
    <t>TV2 prop req</t>
  </si>
  <si>
    <t>MA4</t>
  </si>
  <si>
    <t>LLO-surface-LLO</t>
  </si>
  <si>
    <t>cycle prop cost</t>
  </si>
  <si>
    <t>TV1</t>
  </si>
  <si>
    <t>mdry 2 [kg]</t>
  </si>
  <si>
    <t>mprop 2 [kg]</t>
  </si>
  <si>
    <t>mdry 3 [kg]</t>
  </si>
  <si>
    <t>mprop 3 [kg]</t>
  </si>
  <si>
    <t>stats</t>
  </si>
  <si>
    <t>stats mprop = 3.231*mdry</t>
  </si>
  <si>
    <t>TV2 Ec [J]</t>
  </si>
  <si>
    <t>property</t>
  </si>
  <si>
    <t>value</t>
  </si>
  <si>
    <t>building block</t>
  </si>
  <si>
    <t>ETV</t>
  </si>
  <si>
    <t>design ref</t>
  </si>
  <si>
    <t>gateway PPE</t>
  </si>
  <si>
    <t>dV req.</t>
  </si>
  <si>
    <t>mp</t>
  </si>
  <si>
    <t>m_inert[kg]</t>
  </si>
  <si>
    <t>m_dry</t>
  </si>
  <si>
    <t>m_p</t>
  </si>
  <si>
    <t>m_prop</t>
  </si>
  <si>
    <t>m_total</t>
  </si>
  <si>
    <t>Isp</t>
  </si>
  <si>
    <t>mdry</t>
  </si>
  <si>
    <t>mp = 2.1809*mdry</t>
  </si>
  <si>
    <t>mdr</t>
  </si>
  <si>
    <t>mprop</t>
  </si>
  <si>
    <t>mtotal</t>
  </si>
  <si>
    <t>Xenon</t>
  </si>
  <si>
    <t>MA5</t>
  </si>
  <si>
    <t>TLI payload</t>
  </si>
  <si>
    <t>Falcon 2S</t>
  </si>
  <si>
    <t xml:space="preserve">mp </t>
  </si>
  <si>
    <t>dV req</t>
  </si>
  <si>
    <t>1.11*Tsiolkovsky</t>
  </si>
  <si>
    <t>cycle prop mass</t>
  </si>
  <si>
    <t>Construction Launches</t>
  </si>
  <si>
    <t>Launches Per cycle</t>
  </si>
  <si>
    <t>paylod per launch</t>
  </si>
  <si>
    <t>payload per launch</t>
  </si>
  <si>
    <t>#RDVs</t>
  </si>
  <si>
    <t>10 fuelings + 1 payload delivery</t>
  </si>
  <si>
    <t>Launcher-TV x2
TV-LOPG
Lander-LOPG</t>
  </si>
  <si>
    <t>Launcher-TV x2
TV1-LOPG
TV2-Lander
Lander-TV2
TV2-LOPG</t>
  </si>
  <si>
    <t>returned_payload_mass</t>
  </si>
  <si>
    <t>landed_payload_mass</t>
  </si>
  <si>
    <t>refuels per cycle</t>
  </si>
  <si>
    <t>TV in LEO
TV at LOPG
Lander at LOPG</t>
  </si>
  <si>
    <t>TV1 in LEO
TV1 at LOPG
TV2 at LOPG
Lander in LLO</t>
  </si>
  <si>
    <t>Launcher - ETV
ETV-LOPG
Lander - LOPG</t>
  </si>
  <si>
    <t>ETV in LEO
ETV at LOPG
Lander at LOPG</t>
  </si>
  <si>
    <t>Cryo_fuel?</t>
  </si>
  <si>
    <t>rad_hardening</t>
  </si>
  <si>
    <t>architecture_complexity</t>
  </si>
  <si>
    <t>payload mass bottleneck</t>
  </si>
  <si>
    <t>FOM</t>
  </si>
  <si>
    <t>Technological complexity</t>
  </si>
  <si>
    <t>COMPLEXITY</t>
  </si>
  <si>
    <t>subsystem_compexity</t>
  </si>
  <si>
    <t>MA1 - Sizing</t>
  </si>
  <si>
    <t>MA 2 - Sizing</t>
  </si>
  <si>
    <t>MA3 - Sizing</t>
  </si>
  <si>
    <t>MA4 - Sizing</t>
  </si>
  <si>
    <t>MA 5 - Sizing</t>
  </si>
  <si>
    <t>MA3 - FOMs</t>
  </si>
  <si>
    <t>MA1 - FOMs</t>
  </si>
  <si>
    <t>MA4 - FOMs</t>
  </si>
  <si>
    <t>MA5 - FOMs</t>
  </si>
  <si>
    <t>Figure</t>
  </si>
  <si>
    <t>payload</t>
  </si>
  <si>
    <t>04_complexity</t>
  </si>
  <si>
    <t>05_Delivery Time</t>
  </si>
  <si>
    <t>06_Flexibility</t>
  </si>
  <si>
    <t>07_cost</t>
  </si>
  <si>
    <t>Lander Dev cost</t>
  </si>
  <si>
    <t>$/kg_landed</t>
  </si>
  <si>
    <t>$/kg_lifted</t>
  </si>
  <si>
    <t>TLI</t>
  </si>
  <si>
    <t>LEO - 11 RDVs</t>
  </si>
  <si>
    <t>refuelling time [days]</t>
  </si>
  <si>
    <t>RDV time [days]</t>
  </si>
  <si>
    <t>Orbit 1 [days]</t>
  </si>
  <si>
    <t>Orbit 2 [days]</t>
  </si>
  <si>
    <t>Orbit 3 [days]</t>
  </si>
  <si>
    <t xml:space="preserve">ISS speed record benchmark </t>
  </si>
  <si>
    <t>Total [days]</t>
  </si>
  <si>
    <t>MA2 - FOMs</t>
  </si>
  <si>
    <t>refuelling rate [kg/s]</t>
  </si>
  <si>
    <t>Burn Time of falcon 2S. 187 seconds for 92670kg of fuel: 495kg/s.  
Choose a  rate 5 times slower</t>
  </si>
  <si>
    <t>LEO RDV time [days]</t>
  </si>
  <si>
    <t>LEO - w/ RDVs</t>
  </si>
  <si>
    <t>LOPG to landing</t>
  </si>
  <si>
    <t>Orbit 4 [days]</t>
  </si>
  <si>
    <t>Landing</t>
  </si>
  <si>
    <t>TLI return</t>
  </si>
  <si>
    <t>Delivery Time</t>
  </si>
  <si>
    <t>Orbit 5 [days]</t>
  </si>
  <si>
    <t>to LOPG + RDV</t>
  </si>
  <si>
    <t>TLI Return</t>
  </si>
  <si>
    <t>LLO to Landing</t>
  </si>
  <si>
    <t>LLO to LOPG + RDV</t>
  </si>
  <si>
    <t>TLI to LOPG+RDV</t>
  </si>
  <si>
    <t>LOPG to LLO + RDV + fuelling</t>
  </si>
  <si>
    <t>Orbit 6 [days]</t>
  </si>
  <si>
    <t>to LLO + RDV</t>
  </si>
  <si>
    <t>LOPG to Landing</t>
  </si>
  <si>
    <t>LEO</t>
  </si>
  <si>
    <t>LLO - landing</t>
  </si>
  <si>
    <t>TLI - Free Return</t>
  </si>
  <si>
    <t>Landed_Payload</t>
  </si>
  <si>
    <t>Returned_payload</t>
  </si>
  <si>
    <t>Delivery_Time</t>
  </si>
  <si>
    <t>System_complexity</t>
  </si>
  <si>
    <t>Flexibility</t>
  </si>
  <si>
    <t>normalised</t>
  </si>
  <si>
    <t>Total+1</t>
  </si>
  <si>
    <t>Cost [$/kg_landed]</t>
  </si>
  <si>
    <t>Landed_Payload [kg/launch]</t>
  </si>
  <si>
    <t>Returned_payload [kg/launch]</t>
  </si>
  <si>
    <t>Delivery_Time [days]</t>
  </si>
  <si>
    <t>System_complexity [#rdvs]</t>
  </si>
  <si>
    <t>Cost [$/kg_returned</t>
  </si>
  <si>
    <t>initial construction mass</t>
  </si>
  <si>
    <t>fuel +payload per cycle</t>
  </si>
  <si>
    <t>constructor launcher</t>
  </si>
  <si>
    <t>Atlas V 551</t>
  </si>
  <si>
    <t>regular launcher</t>
  </si>
  <si>
    <t>DDTE</t>
  </si>
  <si>
    <t>Construction</t>
  </si>
  <si>
    <t>TV production cost $</t>
  </si>
  <si>
    <t>Lander production cost $</t>
  </si>
  <si>
    <t>launch costs $/kg</t>
  </si>
  <si>
    <t>construction launch costs</t>
  </si>
  <si>
    <t>total construction cost</t>
  </si>
  <si>
    <t>Operation</t>
  </si>
  <si>
    <t>fuel production $</t>
  </si>
  <si>
    <t>operational launch cost $/kg</t>
  </si>
  <si>
    <t>operational launch costs $</t>
  </si>
  <si>
    <t>total operation cost per cycle</t>
  </si>
  <si>
    <t>disposal</t>
  </si>
  <si>
    <t>Total LCC</t>
  </si>
  <si>
    <t>total cost per trip</t>
  </si>
  <si>
    <t>180 cycles (1 flight per month for 15 years)</t>
  </si>
  <si>
    <t>Launcher Database</t>
  </si>
  <si>
    <t>Per Launch cost</t>
  </si>
  <si>
    <t>Payload to LEO</t>
  </si>
  <si>
    <t>$/kg</t>
  </si>
  <si>
    <t>https://www.spacex.com/media/Capabilities&amp;Services.pdf</t>
  </si>
  <si>
    <t>https://www.rocketbuilder.com/start/configure</t>
  </si>
  <si>
    <t>Ariane 6 A64</t>
  </si>
  <si>
    <t>https://www.lemonde.fr/economie/article/2014/12/01/les-europeens-s-appretent-a-mettre-ariane-6-en-chantier_4532259_3234.html</t>
  </si>
  <si>
    <t>Falcon 9 FT</t>
  </si>
  <si>
    <t>SLS B1</t>
  </si>
  <si>
    <t>https://www.whitehouse.gov/wp-content/uploads/2019/10/shelby-mega-approps-10-23-19.pdf</t>
  </si>
  <si>
    <t>Vega</t>
  </si>
  <si>
    <t>wikipedia</t>
  </si>
  <si>
    <t>electron</t>
  </si>
  <si>
    <t>Launcher ref</t>
  </si>
  <si>
    <t>Apollo style rule</t>
  </si>
  <si>
    <t>weightings</t>
  </si>
  <si>
    <t>Total Scores</t>
  </si>
  <si>
    <t>Cost landed</t>
  </si>
  <si>
    <t>Cost Returned</t>
  </si>
  <si>
    <t>Cost Landed</t>
  </si>
  <si>
    <t>FOMs weighting</t>
  </si>
  <si>
    <t>Lander Sizing</t>
  </si>
  <si>
    <t>Fd</t>
  </si>
  <si>
    <t>H/D</t>
  </si>
  <si>
    <t>height of diameter of the lander</t>
  </si>
  <si>
    <t>vh</t>
  </si>
  <si>
    <t>pressurized volume fraction</t>
  </si>
  <si>
    <t>Kdry</t>
  </si>
  <si>
    <t>specific mass of power storage</t>
  </si>
  <si>
    <t>d</t>
  </si>
  <si>
    <t>duration of active mission phase</t>
  </si>
  <si>
    <t>Km</t>
  </si>
  <si>
    <t>for unmanned vehicles</t>
  </si>
  <si>
    <t>PROPULSION</t>
  </si>
  <si>
    <t>POWER</t>
  </si>
  <si>
    <t>STRUCTURE + TPS</t>
  </si>
  <si>
    <t>OTHER</t>
  </si>
  <si>
    <t>OF</t>
  </si>
  <si>
    <t>fuel desnity</t>
  </si>
  <si>
    <t>oxidizer density</t>
  </si>
  <si>
    <t>assume T/W at surface 1.78*mtot</t>
  </si>
  <si>
    <t>T [N]</t>
  </si>
  <si>
    <t>engines</t>
  </si>
  <si>
    <t>tanks</t>
  </si>
  <si>
    <t>RCS</t>
  </si>
  <si>
    <t>relative propellant bulk density</t>
  </si>
  <si>
    <t>LUNAR BASE SYSTEMS STUDY 1988</t>
  </si>
  <si>
    <t>from Zandbergen (Delft) 2014</t>
  </si>
  <si>
    <t>W/kg using LRO as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</si>
</sst>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00"/>
  </numFmts>
  <fonts count="7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0" borderId="6" xfId="0" applyBorder="1"/>
    <xf numFmtId="1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7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2" fillId="4" borderId="0" xfId="0" applyFont="1" applyFill="1"/>
    <xf numFmtId="11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right"/>
    </xf>
    <xf numFmtId="3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8" xfId="0" applyFill="1" applyBorder="1" applyAlignment="1">
      <alignment horizontal="right"/>
    </xf>
    <xf numFmtId="0" fontId="0" fillId="5" borderId="8" xfId="0" applyFill="1" applyBorder="1"/>
    <xf numFmtId="0" fontId="0" fillId="0" borderId="7" xfId="0" applyBorder="1" applyAlignment="1">
      <alignment horizontal="right" vertical="center"/>
    </xf>
    <xf numFmtId="0" fontId="0" fillId="0" borderId="7" xfId="0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0" borderId="2" xfId="0" applyBorder="1"/>
    <xf numFmtId="164" fontId="0" fillId="0" borderId="7" xfId="0" applyNumberFormat="1" applyBorder="1"/>
    <xf numFmtId="164" fontId="0" fillId="0" borderId="0" xfId="0" applyNumberFormat="1"/>
    <xf numFmtId="0" fontId="0" fillId="0" borderId="15" xfId="0" applyBorder="1" applyAlignment="1">
      <alignment horizontal="right"/>
    </xf>
    <xf numFmtId="0" fontId="0" fillId="0" borderId="15" xfId="0" applyBorder="1"/>
    <xf numFmtId="164" fontId="0" fillId="0" borderId="15" xfId="0" applyNumberFormat="1" applyBorder="1"/>
    <xf numFmtId="2" fontId="0" fillId="5" borderId="8" xfId="0" applyNumberFormat="1" applyFill="1" applyBorder="1"/>
    <xf numFmtId="2" fontId="0" fillId="0" borderId="0" xfId="0" applyNumberFormat="1"/>
    <xf numFmtId="0" fontId="0" fillId="0" borderId="16" xfId="0" applyBorder="1"/>
    <xf numFmtId="164" fontId="0" fillId="5" borderId="0" xfId="0" applyNumberFormat="1" applyFill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0" fillId="0" borderId="7" xfId="0" applyNumberFormat="1" applyBorder="1"/>
    <xf numFmtId="0" fontId="0" fillId="0" borderId="20" xfId="0" applyBorder="1" applyAlignment="1">
      <alignment horizontal="right"/>
    </xf>
    <xf numFmtId="0" fontId="0" fillId="0" borderId="20" xfId="0" applyBorder="1"/>
    <xf numFmtId="3" fontId="0" fillId="0" borderId="20" xfId="0" applyNumberFormat="1" applyBorder="1" applyAlignment="1">
      <alignment horizontal="center"/>
    </xf>
    <xf numFmtId="3" fontId="0" fillId="0" borderId="15" xfId="0" applyNumberFormat="1" applyBorder="1"/>
    <xf numFmtId="3" fontId="0" fillId="0" borderId="20" xfId="0" applyNumberFormat="1" applyBorder="1"/>
    <xf numFmtId="3" fontId="0" fillId="5" borderId="0" xfId="0" applyNumberFormat="1" applyFill="1"/>
    <xf numFmtId="4" fontId="0" fillId="0" borderId="0" xfId="0" applyNumberFormat="1"/>
    <xf numFmtId="3" fontId="0" fillId="0" borderId="8" xfId="0" applyNumberFormat="1" applyBorder="1"/>
    <xf numFmtId="165" fontId="0" fillId="0" borderId="0" xfId="0" applyNumberFormat="1"/>
    <xf numFmtId="0" fontId="0" fillId="7" borderId="7" xfId="0" applyFill="1" applyBorder="1"/>
    <xf numFmtId="4" fontId="0" fillId="7" borderId="7" xfId="0" applyNumberFormat="1" applyFill="1" applyBorder="1"/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2004-969A-48C7-A58A-4DFE112F2B59}">
  <dimension ref="A1:AF94"/>
  <sheetViews>
    <sheetView zoomScale="55" zoomScaleNormal="55" workbookViewId="0">
      <selection activeCell="J16" sqref="J16:M22"/>
    </sheetView>
  </sheetViews>
  <sheetFormatPr defaultRowHeight="15" x14ac:dyDescent="0.25"/>
  <cols>
    <col min="1" max="1" width="25" bestFit="1" customWidth="1"/>
    <col min="3" max="3" width="6.7109375" customWidth="1"/>
    <col min="4" max="4" width="23.85546875" customWidth="1"/>
    <col min="5" max="5" width="26.140625" customWidth="1"/>
    <col min="6" max="6" width="27" bestFit="1" customWidth="1"/>
    <col min="7" max="7" width="12.7109375" bestFit="1" customWidth="1"/>
    <col min="10" max="10" width="21.140625" customWidth="1"/>
    <col min="11" max="11" width="28.7109375" bestFit="1" customWidth="1"/>
    <col min="12" max="12" width="33.28515625" customWidth="1"/>
    <col min="13" max="13" width="16.85546875" customWidth="1"/>
    <col min="14" max="14" width="16" customWidth="1"/>
    <col min="15" max="15" width="4.5703125" hidden="1" customWidth="1"/>
    <col min="16" max="16" width="20.7109375" customWidth="1"/>
    <col min="17" max="17" width="22.140625" customWidth="1"/>
    <col min="18" max="18" width="23.28515625" bestFit="1" customWidth="1"/>
    <col min="19" max="19" width="21" customWidth="1"/>
    <col min="20" max="20" width="16.28515625" customWidth="1"/>
    <col min="21" max="21" width="19.140625" customWidth="1"/>
    <col min="22" max="22" width="16.28515625" bestFit="1" customWidth="1"/>
    <col min="23" max="23" width="14.85546875" customWidth="1"/>
    <col min="24" max="24" width="24.5703125" bestFit="1" customWidth="1"/>
    <col min="25" max="25" width="17.140625" bestFit="1" customWidth="1"/>
    <col min="26" max="26" width="13.5703125" customWidth="1"/>
    <col min="29" max="29" width="13.140625" customWidth="1"/>
    <col min="30" max="30" width="24.5703125" bestFit="1" customWidth="1"/>
    <col min="31" max="31" width="20.140625" bestFit="1" customWidth="1"/>
    <col min="32" max="32" width="12.28515625" bestFit="1" customWidth="1"/>
  </cols>
  <sheetData>
    <row r="1" spans="1:32" ht="15.75" thickBot="1" x14ac:dyDescent="0.3">
      <c r="D1" s="100" t="s">
        <v>130</v>
      </c>
      <c r="E1" s="100"/>
      <c r="F1" s="100"/>
      <c r="G1" s="100"/>
      <c r="J1" s="99" t="s">
        <v>131</v>
      </c>
      <c r="K1" s="99"/>
      <c r="L1" s="99"/>
      <c r="M1" s="99"/>
      <c r="Q1" s="99" t="s">
        <v>132</v>
      </c>
      <c r="R1" s="99"/>
      <c r="S1" s="99"/>
      <c r="T1" s="99"/>
      <c r="W1" s="99" t="s">
        <v>133</v>
      </c>
      <c r="X1" s="99"/>
      <c r="Y1" s="99"/>
      <c r="Z1" s="99"/>
      <c r="AC1" s="101" t="s">
        <v>134</v>
      </c>
      <c r="AD1" s="102"/>
      <c r="AE1" s="102"/>
      <c r="AF1" s="103"/>
    </row>
    <row r="2" spans="1:32" x14ac:dyDescent="0.25">
      <c r="A2" s="41" t="s">
        <v>125</v>
      </c>
      <c r="D2" s="2" t="s">
        <v>82</v>
      </c>
      <c r="E2" s="2" t="s">
        <v>80</v>
      </c>
      <c r="F2" s="2" t="s">
        <v>38</v>
      </c>
      <c r="G2" s="2" t="s">
        <v>81</v>
      </c>
      <c r="J2" s="2" t="s">
        <v>82</v>
      </c>
      <c r="K2" s="2" t="s">
        <v>80</v>
      </c>
      <c r="L2" s="2" t="s">
        <v>38</v>
      </c>
      <c r="M2" s="2" t="s">
        <v>81</v>
      </c>
      <c r="Q2" s="2" t="s">
        <v>82</v>
      </c>
      <c r="R2" s="2" t="s">
        <v>80</v>
      </c>
      <c r="S2" s="2" t="s">
        <v>38</v>
      </c>
      <c r="T2" s="2" t="s">
        <v>81</v>
      </c>
      <c r="W2" s="2" t="s">
        <v>82</v>
      </c>
      <c r="X2" s="2" t="s">
        <v>80</v>
      </c>
      <c r="Y2" s="2" t="s">
        <v>38</v>
      </c>
      <c r="Z2" s="2" t="s">
        <v>81</v>
      </c>
      <c r="AC2" s="2" t="s">
        <v>82</v>
      </c>
      <c r="AD2" s="2" t="s">
        <v>80</v>
      </c>
      <c r="AE2" s="2" t="s">
        <v>38</v>
      </c>
      <c r="AF2" s="2" t="s">
        <v>81</v>
      </c>
    </row>
    <row r="3" spans="1:32" x14ac:dyDescent="0.25">
      <c r="A3" s="47" t="s">
        <v>126</v>
      </c>
      <c r="D3" t="s">
        <v>48</v>
      </c>
      <c r="E3" s="1" t="s">
        <v>193</v>
      </c>
      <c r="G3" s="17">
        <f>G7</f>
        <v>29253.977715621993</v>
      </c>
      <c r="J3" t="s">
        <v>48</v>
      </c>
      <c r="K3" s="1" t="s">
        <v>193</v>
      </c>
      <c r="M3" s="17">
        <f>M11+M17</f>
        <v>20656.024254389882</v>
      </c>
      <c r="Q3" t="s">
        <v>48</v>
      </c>
      <c r="R3" s="1" t="s">
        <v>193</v>
      </c>
      <c r="T3" s="17">
        <f>T11+T22+T28</f>
        <v>22534.729184202421</v>
      </c>
      <c r="W3" t="s">
        <v>48</v>
      </c>
      <c r="X3" s="1" t="s">
        <v>193</v>
      </c>
      <c r="Z3" s="17">
        <f>Z11+Z17</f>
        <v>12234.376322311724</v>
      </c>
      <c r="AC3" t="s">
        <v>48</v>
      </c>
      <c r="AD3" s="1"/>
      <c r="AF3" s="17"/>
    </row>
    <row r="4" spans="1:32" x14ac:dyDescent="0.25">
      <c r="E4" s="1" t="s">
        <v>194</v>
      </c>
      <c r="G4" s="17">
        <f>G8+G11</f>
        <v>659038.59105931455</v>
      </c>
      <c r="K4" s="1" t="s">
        <v>194</v>
      </c>
      <c r="M4" s="17">
        <f>M14+M16</f>
        <v>119200.59036120269</v>
      </c>
      <c r="R4" s="1" t="s">
        <v>194</v>
      </c>
      <c r="T4" s="17">
        <f>T27+T15</f>
        <v>119200.59036120269</v>
      </c>
      <c r="X4" s="1" t="s">
        <v>194</v>
      </c>
      <c r="Z4" s="17">
        <f>Z14+Z16</f>
        <v>13606.060618403186</v>
      </c>
      <c r="AD4" s="45" t="s">
        <v>101</v>
      </c>
      <c r="AE4" s="45" t="s">
        <v>39</v>
      </c>
      <c r="AF4" s="43">
        <v>21000</v>
      </c>
    </row>
    <row r="5" spans="1:32" x14ac:dyDescent="0.25">
      <c r="E5" s="1" t="s">
        <v>195</v>
      </c>
      <c r="F5" t="s">
        <v>39</v>
      </c>
      <c r="G5" s="2">
        <v>63800</v>
      </c>
      <c r="K5" s="1" t="s">
        <v>195</v>
      </c>
      <c r="L5" t="s">
        <v>39</v>
      </c>
      <c r="M5" s="2">
        <v>63800</v>
      </c>
      <c r="R5" s="1" t="s">
        <v>195</v>
      </c>
      <c r="S5" t="s">
        <v>39</v>
      </c>
      <c r="T5" s="2">
        <v>63800</v>
      </c>
      <c r="X5" s="1" t="s">
        <v>195</v>
      </c>
      <c r="Y5" t="s">
        <v>196</v>
      </c>
      <c r="Z5" s="2">
        <f>Sheet6!E7</f>
        <v>18831</v>
      </c>
      <c r="AD5" t="s">
        <v>228</v>
      </c>
      <c r="AE5" t="s">
        <v>39</v>
      </c>
    </row>
    <row r="6" spans="1:32" ht="15.75" thickBot="1" x14ac:dyDescent="0.3">
      <c r="E6" s="1" t="s">
        <v>197</v>
      </c>
      <c r="F6" t="s">
        <v>39</v>
      </c>
      <c r="G6" s="2">
        <v>63800</v>
      </c>
      <c r="K6" s="1" t="s">
        <v>197</v>
      </c>
      <c r="L6" t="s">
        <v>39</v>
      </c>
      <c r="M6" s="2">
        <v>63800</v>
      </c>
      <c r="R6" s="1" t="s">
        <v>197</v>
      </c>
      <c r="S6" t="s">
        <v>39</v>
      </c>
      <c r="T6" s="2">
        <v>63800</v>
      </c>
      <c r="X6" s="1" t="s">
        <v>197</v>
      </c>
      <c r="Y6" t="s">
        <v>196</v>
      </c>
      <c r="Z6" s="2">
        <f>Sheet6!E7</f>
        <v>18831</v>
      </c>
      <c r="AC6" s="23" t="s">
        <v>2</v>
      </c>
      <c r="AD6" s="1" t="s">
        <v>94</v>
      </c>
      <c r="AE6" t="s">
        <v>102</v>
      </c>
      <c r="AF6" s="32">
        <v>3900</v>
      </c>
    </row>
    <row r="7" spans="1:32" x14ac:dyDescent="0.25">
      <c r="D7" s="19" t="s">
        <v>43</v>
      </c>
      <c r="E7" s="20" t="s">
        <v>8</v>
      </c>
      <c r="F7" s="27" t="s">
        <v>35</v>
      </c>
      <c r="G7" s="22">
        <f>G8/2.1809</f>
        <v>29253.977715621993</v>
      </c>
      <c r="J7" s="37" t="s">
        <v>2</v>
      </c>
      <c r="K7" s="20" t="s">
        <v>0</v>
      </c>
      <c r="L7" s="21"/>
      <c r="M7" s="27" t="s">
        <v>13</v>
      </c>
      <c r="Q7" s="19" t="s">
        <v>72</v>
      </c>
      <c r="R7" s="20" t="s">
        <v>0</v>
      </c>
      <c r="S7" s="21"/>
      <c r="T7" s="27" t="s">
        <v>13</v>
      </c>
      <c r="W7" s="19" t="s">
        <v>83</v>
      </c>
      <c r="X7" s="20" t="s">
        <v>84</v>
      </c>
      <c r="Y7" s="27"/>
      <c r="Z7" s="27" t="s">
        <v>85</v>
      </c>
      <c r="AC7" s="23"/>
      <c r="AD7" s="1" t="s">
        <v>97</v>
      </c>
      <c r="AE7" t="s">
        <v>102</v>
      </c>
      <c r="AF7" s="32">
        <v>92670</v>
      </c>
    </row>
    <row r="8" spans="1:32" x14ac:dyDescent="0.25">
      <c r="D8" s="23"/>
      <c r="E8" s="1" t="s">
        <v>9</v>
      </c>
      <c r="G8" s="17">
        <f>G6</f>
        <v>63800</v>
      </c>
      <c r="J8" s="3"/>
      <c r="K8" s="44" t="s">
        <v>6</v>
      </c>
      <c r="L8" s="46"/>
      <c r="M8" s="42">
        <v>292000000000</v>
      </c>
      <c r="Q8" s="23"/>
      <c r="R8" s="44" t="s">
        <v>6</v>
      </c>
      <c r="S8" s="46"/>
      <c r="T8" s="42">
        <v>292000000000</v>
      </c>
      <c r="W8" s="23"/>
      <c r="X8" s="44" t="s">
        <v>49</v>
      </c>
      <c r="Y8" s="45"/>
      <c r="Z8" s="42">
        <v>131000000000</v>
      </c>
      <c r="AC8" s="23"/>
      <c r="AD8" s="1" t="s">
        <v>98</v>
      </c>
      <c r="AF8" s="32">
        <f>AF7+AF6+AF4</f>
        <v>117570</v>
      </c>
    </row>
    <row r="9" spans="1:32" ht="30" x14ac:dyDescent="0.25">
      <c r="D9" s="23"/>
      <c r="E9" s="30" t="s">
        <v>45</v>
      </c>
      <c r="F9" s="31" t="s">
        <v>44</v>
      </c>
      <c r="G9" s="17">
        <v>9060</v>
      </c>
      <c r="J9" s="3"/>
      <c r="K9" s="1" t="s">
        <v>5</v>
      </c>
      <c r="L9" s="2" t="s">
        <v>41</v>
      </c>
      <c r="M9" s="17">
        <v>3800</v>
      </c>
      <c r="Q9" s="23"/>
      <c r="R9" s="1" t="s">
        <v>5</v>
      </c>
      <c r="S9" s="2" t="s">
        <v>41</v>
      </c>
      <c r="T9" s="17">
        <v>3800</v>
      </c>
      <c r="W9" s="23"/>
      <c r="X9" s="1" t="s">
        <v>86</v>
      </c>
      <c r="Z9" s="2">
        <v>3800</v>
      </c>
      <c r="AC9" s="23"/>
      <c r="AD9" s="1" t="s">
        <v>104</v>
      </c>
      <c r="AF9" s="32">
        <v>3800</v>
      </c>
    </row>
    <row r="10" spans="1:32" x14ac:dyDescent="0.25">
      <c r="D10" s="23"/>
      <c r="E10" s="1" t="s">
        <v>1</v>
      </c>
      <c r="F10" t="s">
        <v>26</v>
      </c>
      <c r="G10" s="17">
        <v>450</v>
      </c>
      <c r="J10" s="3"/>
      <c r="K10" s="1" t="s">
        <v>14</v>
      </c>
      <c r="L10" s="2"/>
      <c r="M10" s="17">
        <f>2*M8/M9^2</f>
        <v>40443.213296398892</v>
      </c>
      <c r="Q10" s="23"/>
      <c r="R10" s="1" t="s">
        <v>14</v>
      </c>
      <c r="S10" s="2"/>
      <c r="T10" s="17">
        <f>2*T8/T9^2</f>
        <v>40443.213296398892</v>
      </c>
      <c r="W10" s="23"/>
      <c r="X10" s="1" t="s">
        <v>88</v>
      </c>
      <c r="Z10" s="17">
        <f>2*Z8/(Z9^2)</f>
        <v>18144.044321329638</v>
      </c>
      <c r="AC10" s="23"/>
      <c r="AD10" s="1" t="s">
        <v>93</v>
      </c>
      <c r="AF10" s="32">
        <v>348</v>
      </c>
    </row>
    <row r="11" spans="1:32" ht="15.75" thickBot="1" x14ac:dyDescent="0.3">
      <c r="D11" s="23"/>
      <c r="E11" s="1" t="s">
        <v>11</v>
      </c>
      <c r="F11" t="s">
        <v>46</v>
      </c>
      <c r="G11" s="17">
        <f>0.95*EXP((G9)/(G10*9.81))*(G8+G7)-(G8+G7)</f>
        <v>595238.59105931455</v>
      </c>
      <c r="J11" s="3"/>
      <c r="K11" s="1" t="s">
        <v>15</v>
      </c>
      <c r="L11" s="2"/>
      <c r="M11" s="17">
        <v>3900</v>
      </c>
      <c r="Q11" s="23"/>
      <c r="R11" s="1" t="s">
        <v>15</v>
      </c>
      <c r="S11" s="2"/>
      <c r="T11" s="17">
        <v>3900</v>
      </c>
      <c r="W11" s="23"/>
      <c r="X11" s="1" t="s">
        <v>89</v>
      </c>
      <c r="Z11" s="2">
        <v>7230</v>
      </c>
      <c r="AC11" s="39"/>
      <c r="AD11" s="1" t="s">
        <v>49</v>
      </c>
      <c r="AF11" s="36">
        <f>0.5*(AF6+AF4)*AF9^2</f>
        <v>179778000000</v>
      </c>
    </row>
    <row r="12" spans="1:32" x14ac:dyDescent="0.25">
      <c r="D12" s="23"/>
      <c r="E12" s="1" t="s">
        <v>73</v>
      </c>
      <c r="F12" t="s">
        <v>78</v>
      </c>
      <c r="G12" s="17">
        <f>G11/3.231</f>
        <v>184227.35718332237</v>
      </c>
      <c r="J12" s="3"/>
      <c r="K12" s="1" t="s">
        <v>7</v>
      </c>
      <c r="L12" s="2"/>
      <c r="M12" s="17">
        <f>M10-M11</f>
        <v>36543.213296398892</v>
      </c>
      <c r="O12" t="s">
        <v>51</v>
      </c>
      <c r="Q12" s="23"/>
      <c r="R12" s="1" t="s">
        <v>57</v>
      </c>
      <c r="T12" s="17">
        <v>1300</v>
      </c>
      <c r="W12" s="23"/>
      <c r="X12" s="1" t="s">
        <v>90</v>
      </c>
      <c r="Z12" s="17">
        <f>Z10-Z11</f>
        <v>10914.044321329638</v>
      </c>
      <c r="AC12" s="19" t="s">
        <v>3</v>
      </c>
      <c r="AD12" s="20" t="s">
        <v>98</v>
      </c>
      <c r="AE12" s="27"/>
      <c r="AF12" s="34">
        <f>AF4</f>
        <v>21000</v>
      </c>
    </row>
    <row r="13" spans="1:32" ht="16.5" customHeight="1" x14ac:dyDescent="0.25">
      <c r="D13" s="23"/>
      <c r="E13" s="1" t="s">
        <v>74</v>
      </c>
      <c r="F13" t="s">
        <v>46</v>
      </c>
      <c r="G13" s="17">
        <f>0.95*EXP((G9)/(G10*9.81))*(G8+G12)-(G8+G12)</f>
        <v>1586557.1602446502</v>
      </c>
      <c r="J13" s="3"/>
      <c r="K13" s="1" t="s">
        <v>4</v>
      </c>
      <c r="L13" s="2"/>
      <c r="M13" s="17">
        <v>348</v>
      </c>
      <c r="O13" s="3">
        <v>9060</v>
      </c>
      <c r="Q13" s="23"/>
      <c r="R13" s="1" t="s">
        <v>7</v>
      </c>
      <c r="S13" s="2"/>
      <c r="T13" s="17">
        <f>T10-T11</f>
        <v>36543.213296398892</v>
      </c>
      <c r="W13" s="23"/>
      <c r="X13" s="1" t="s">
        <v>93</v>
      </c>
      <c r="Z13" s="2">
        <v>2800</v>
      </c>
      <c r="AC13" s="23"/>
      <c r="AD13" s="1" t="s">
        <v>94</v>
      </c>
      <c r="AE13" t="s">
        <v>229</v>
      </c>
      <c r="AF13" s="32">
        <f>0.1484*AF12</f>
        <v>3116.4</v>
      </c>
    </row>
    <row r="14" spans="1:32" x14ac:dyDescent="0.25">
      <c r="D14" s="23"/>
      <c r="E14" s="1" t="s">
        <v>75</v>
      </c>
      <c r="F14" t="s">
        <v>77</v>
      </c>
      <c r="G14" s="17">
        <f>G13/3.231</f>
        <v>491042.14182749932</v>
      </c>
      <c r="J14" s="3"/>
      <c r="K14" s="1" t="s">
        <v>34</v>
      </c>
      <c r="L14" s="2"/>
      <c r="M14" s="17">
        <f>EXP(M9/($M$13*9.81))*(M10) - (M10)</f>
        <v>82657.37706480379</v>
      </c>
      <c r="O14" s="17">
        <f>2*M8/O13^2</f>
        <v>7114.6976984440253</v>
      </c>
      <c r="Q14" s="23"/>
      <c r="R14" s="1" t="s">
        <v>66</v>
      </c>
      <c r="S14" s="2"/>
      <c r="T14" s="17">
        <v>348</v>
      </c>
      <c r="W14" s="23"/>
      <c r="X14" s="1" t="s">
        <v>91</v>
      </c>
      <c r="Z14" s="32">
        <f>EXP((Z9)/(2800*9.81))*(Z10)-(Z10)</f>
        <v>2692.0162970735473</v>
      </c>
      <c r="AC14" s="23"/>
      <c r="AD14" s="1" t="s">
        <v>103</v>
      </c>
      <c r="AE14" t="s">
        <v>229</v>
      </c>
      <c r="AF14" s="32">
        <f>AF13*2.0251</f>
        <v>6311.0216400000008</v>
      </c>
    </row>
    <row r="15" spans="1:32" ht="15.75" thickBot="1" x14ac:dyDescent="0.3">
      <c r="D15" s="23"/>
      <c r="E15" s="1" t="s">
        <v>76</v>
      </c>
      <c r="F15" t="s">
        <v>46</v>
      </c>
      <c r="G15" s="17">
        <f>0.95*EXP((G9)/(G10*9.81))*(G8+G14)-(G8+G14)</f>
        <v>3549159.9915377731</v>
      </c>
      <c r="J15" s="38"/>
      <c r="K15" s="24" t="s">
        <v>40</v>
      </c>
      <c r="L15" s="28"/>
      <c r="M15" s="26">
        <f>M14+M12+M11</f>
        <v>123100.59036120269</v>
      </c>
      <c r="O15" s="17">
        <v>3900</v>
      </c>
      <c r="Q15" s="23"/>
      <c r="R15" s="1" t="s">
        <v>34</v>
      </c>
      <c r="S15" s="2"/>
      <c r="T15" s="17">
        <f>EXP(T9/($M$13*9.81))*(T10) - (T10)</f>
        <v>82657.37706480379</v>
      </c>
      <c r="W15" s="39"/>
      <c r="X15" s="24" t="s">
        <v>92</v>
      </c>
      <c r="Y15" s="28"/>
      <c r="Z15" s="26">
        <f>Z14+Z12+Z11</f>
        <v>20836.060618403186</v>
      </c>
      <c r="AC15" s="23"/>
      <c r="AD15" s="1" t="s">
        <v>104</v>
      </c>
      <c r="AF15" s="32">
        <v>2500</v>
      </c>
    </row>
    <row r="16" spans="1:32" ht="15.75" thickBot="1" x14ac:dyDescent="0.3">
      <c r="D16" s="39"/>
      <c r="E16" s="24" t="s">
        <v>12</v>
      </c>
      <c r="F16" s="28"/>
      <c r="G16" s="26">
        <f>SUM(G11,G8,G7)</f>
        <v>688292.56877493649</v>
      </c>
      <c r="J16" s="37" t="s">
        <v>3</v>
      </c>
      <c r="K16" s="20" t="s">
        <v>9</v>
      </c>
      <c r="M16" s="22">
        <f>M12</f>
        <v>36543.213296398892</v>
      </c>
      <c r="O16" s="17">
        <f>O14-O15</f>
        <v>3214.6976984440253</v>
      </c>
      <c r="Q16" s="39"/>
      <c r="R16" s="24" t="s">
        <v>40</v>
      </c>
      <c r="S16" s="28"/>
      <c r="T16" s="26">
        <f>T15+T13+T11</f>
        <v>123100.59036120269</v>
      </c>
      <c r="W16" s="19" t="s">
        <v>3</v>
      </c>
      <c r="X16" s="20" t="s">
        <v>87</v>
      </c>
      <c r="Y16" s="27"/>
      <c r="Z16" s="22">
        <f>Z12</f>
        <v>10914.044321329638</v>
      </c>
      <c r="AC16" s="23"/>
      <c r="AD16" s="1" t="s">
        <v>93</v>
      </c>
      <c r="AF16" s="32">
        <v>450</v>
      </c>
    </row>
    <row r="17" spans="10:32" x14ac:dyDescent="0.25">
      <c r="J17" s="3"/>
      <c r="K17" s="1" t="s">
        <v>8</v>
      </c>
      <c r="L17" s="2" t="s">
        <v>35</v>
      </c>
      <c r="M17" s="17">
        <f>M16/2.1809</f>
        <v>16756.024254389882</v>
      </c>
      <c r="O17" s="17">
        <v>348</v>
      </c>
      <c r="Q17" s="19" t="s">
        <v>54</v>
      </c>
      <c r="R17" s="1" t="s">
        <v>59</v>
      </c>
      <c r="T17" t="s">
        <v>55</v>
      </c>
      <c r="W17" s="23"/>
      <c r="X17" s="1" t="s">
        <v>96</v>
      </c>
      <c r="Y17" t="s">
        <v>95</v>
      </c>
      <c r="Z17" s="17">
        <f>Z16/2.1809</f>
        <v>5004.3763223117239</v>
      </c>
      <c r="AC17" s="23"/>
      <c r="AD17" s="1" t="s">
        <v>97</v>
      </c>
      <c r="AE17" t="s">
        <v>105</v>
      </c>
      <c r="AF17" s="32">
        <f>1.11*EXP((AF15)/(AF16*9.81))*(AF14+AF13)-(AF14+AF13)</f>
        <v>9008.4480133912293</v>
      </c>
    </row>
    <row r="18" spans="10:32" ht="15.75" thickBot="1" x14ac:dyDescent="0.3">
      <c r="J18" s="3"/>
      <c r="K18" s="1" t="s">
        <v>1</v>
      </c>
      <c r="L18" s="2" t="s">
        <v>26</v>
      </c>
      <c r="M18" s="17">
        <v>450</v>
      </c>
      <c r="O18" s="17">
        <f>EXP(O13/($M$13*9.81))*(O14) - (O14)</f>
        <v>93977.66524630526</v>
      </c>
      <c r="Q18" s="23"/>
      <c r="R18" s="1" t="s">
        <v>79</v>
      </c>
      <c r="T18" s="16">
        <f>0.5*(T19+T24)*T20^2</f>
        <v>31451202769.900978</v>
      </c>
      <c r="W18" s="23"/>
      <c r="X18" s="1" t="s">
        <v>93</v>
      </c>
      <c r="Y18" t="s">
        <v>26</v>
      </c>
      <c r="Z18" s="17">
        <v>450</v>
      </c>
      <c r="AC18" s="39"/>
      <c r="AD18" s="24" t="s">
        <v>49</v>
      </c>
      <c r="AE18" s="28"/>
      <c r="AF18" s="35">
        <f>AF15^2*0.5*(AF14+AF13)</f>
        <v>29460692625</v>
      </c>
    </row>
    <row r="19" spans="10:32" x14ac:dyDescent="0.25">
      <c r="J19" s="3"/>
      <c r="K19" s="1" t="s">
        <v>10</v>
      </c>
      <c r="L19" s="2" t="s">
        <v>36</v>
      </c>
      <c r="M19" s="17">
        <v>5000</v>
      </c>
      <c r="O19" s="17">
        <f>O18+O16+O15</f>
        <v>101092.36294474929</v>
      </c>
      <c r="Q19" s="23"/>
      <c r="R19" s="1" t="s">
        <v>60</v>
      </c>
      <c r="T19" s="17">
        <f>T13</f>
        <v>36543.213296398892</v>
      </c>
      <c r="W19" s="23"/>
      <c r="X19" s="1" t="s">
        <v>86</v>
      </c>
      <c r="Z19" s="17">
        <v>5000</v>
      </c>
    </row>
    <row r="20" spans="10:32" x14ac:dyDescent="0.25">
      <c r="J20" s="3"/>
      <c r="K20" s="1" t="s">
        <v>11</v>
      </c>
      <c r="L20" s="2" t="s">
        <v>37</v>
      </c>
      <c r="M20" s="17">
        <f>0.95*EXP((M19)/(M18*9.81))*(M17+M16)-(M17+M16)</f>
        <v>103860.04567213666</v>
      </c>
      <c r="O20" s="17">
        <f>O16</f>
        <v>3214.6976984440253</v>
      </c>
      <c r="Q20" s="23"/>
      <c r="R20" s="1" t="s">
        <v>5</v>
      </c>
      <c r="S20" t="s">
        <v>56</v>
      </c>
      <c r="T20" s="17">
        <v>1280</v>
      </c>
      <c r="W20" s="23"/>
      <c r="X20" s="1" t="s">
        <v>97</v>
      </c>
      <c r="Z20" s="17">
        <f>0.95*EXP((Z19)/(Z18*9.81))*(Z16+Z17) - (Z16+Z17)</f>
        <v>31018.97833907021</v>
      </c>
    </row>
    <row r="21" spans="10:32" x14ac:dyDescent="0.25">
      <c r="J21" s="3"/>
      <c r="K21" s="1" t="s">
        <v>53</v>
      </c>
      <c r="M21" s="16">
        <f>0.5*(M17+M16)*M19^2</f>
        <v>666240469384.85974</v>
      </c>
      <c r="O21" s="17">
        <f>O20/2.1809</f>
        <v>1474.0234299802951</v>
      </c>
      <c r="Q21" s="23"/>
      <c r="R21" s="1" t="s">
        <v>65</v>
      </c>
      <c r="T21" s="2">
        <v>348</v>
      </c>
      <c r="W21" s="23"/>
      <c r="X21" s="1" t="s">
        <v>98</v>
      </c>
      <c r="Z21" s="17">
        <f>Z20+Z17+Z16</f>
        <v>46937.398982711573</v>
      </c>
    </row>
    <row r="22" spans="10:32" ht="15.75" thickBot="1" x14ac:dyDescent="0.3">
      <c r="J22" s="38"/>
      <c r="K22" s="24" t="s">
        <v>12</v>
      </c>
      <c r="L22" s="25"/>
      <c r="M22" s="26">
        <f>SUM(M20,M17,M16)</f>
        <v>157159.28322292544</v>
      </c>
      <c r="O22" s="17">
        <v>450</v>
      </c>
      <c r="Q22" s="23"/>
      <c r="R22" s="1" t="s">
        <v>61</v>
      </c>
      <c r="S22" t="s">
        <v>58</v>
      </c>
      <c r="T22" s="29">
        <f>(T11-T12)/((T15)/(EXP((T20)/(T21*9.81))*(T19+T11)-(T19+T11)))+T12</f>
        <v>1878.7049298125366</v>
      </c>
      <c r="W22" s="39"/>
      <c r="X22" s="24" t="s">
        <v>49</v>
      </c>
      <c r="Y22" s="28"/>
      <c r="Z22" s="28">
        <f>Z19^2*0.5*(Z16+Z17)</f>
        <v>198980258045.51703</v>
      </c>
    </row>
    <row r="23" spans="10:32" x14ac:dyDescent="0.25">
      <c r="O23" s="17">
        <v>5000</v>
      </c>
      <c r="Q23" s="23"/>
      <c r="R23" s="1" t="s">
        <v>62</v>
      </c>
      <c r="T23" s="29">
        <f>(T11-T12)/((T15)/(EXP((T20)/(T21*9.81))*(T19+T22)-(T19+T22)))+T12</f>
        <v>1849.7820691795162</v>
      </c>
    </row>
    <row r="24" spans="10:32" x14ac:dyDescent="0.25">
      <c r="O24" s="17">
        <f>EXP((O23)/(O22*9.81))*(O21+O20)-(O21+O20)</f>
        <v>9864.188772578811</v>
      </c>
      <c r="Q24" s="23"/>
      <c r="R24" s="1" t="s">
        <v>63</v>
      </c>
      <c r="T24" s="29">
        <f>(T11-T12)/((T15)/(EXP((T20)/(T21*9.81))*(T19+T23)-(T19+T23)))+T12</f>
        <v>1849.3682098278878</v>
      </c>
    </row>
    <row r="25" spans="10:32" x14ac:dyDescent="0.25">
      <c r="O25" s="17">
        <f>SUM(O24,O21,O20)</f>
        <v>14552.909901003131</v>
      </c>
      <c r="Q25" s="23"/>
      <c r="R25" s="1" t="s">
        <v>68</v>
      </c>
      <c r="T25" s="29">
        <f>(EXP((T20)/(T21*9.81))*(T19+T23)-(T19+T23))</f>
        <v>17465.128948907681</v>
      </c>
    </row>
    <row r="26" spans="10:32" ht="15.75" thickBot="1" x14ac:dyDescent="0.3">
      <c r="Q26" s="39"/>
      <c r="R26" s="1" t="s">
        <v>64</v>
      </c>
      <c r="T26" s="29">
        <f>T25+T24+T19</f>
        <v>55857.71045513446</v>
      </c>
    </row>
    <row r="27" spans="10:32" ht="15.75" customHeight="1" x14ac:dyDescent="0.25">
      <c r="Q27" s="19" t="s">
        <v>3</v>
      </c>
      <c r="R27" s="20" t="s">
        <v>9</v>
      </c>
      <c r="S27" s="27"/>
      <c r="T27" s="22">
        <f>T19</f>
        <v>36543.213296398892</v>
      </c>
    </row>
    <row r="28" spans="10:32" ht="28.5" customHeight="1" x14ac:dyDescent="0.25">
      <c r="Q28" s="23"/>
      <c r="R28" s="1" t="s">
        <v>8</v>
      </c>
      <c r="S28" s="2" t="s">
        <v>35</v>
      </c>
      <c r="T28" s="17">
        <f>T27/2.1809</f>
        <v>16756.024254389882</v>
      </c>
    </row>
    <row r="29" spans="10:32" x14ac:dyDescent="0.25">
      <c r="Q29" s="23"/>
      <c r="R29" s="1" t="s">
        <v>1</v>
      </c>
      <c r="S29" s="2" t="s">
        <v>26</v>
      </c>
      <c r="T29" s="17">
        <v>450</v>
      </c>
    </row>
    <row r="30" spans="10:32" ht="15.75" customHeight="1" x14ac:dyDescent="0.25">
      <c r="Q30" s="23"/>
      <c r="R30" s="1" t="s">
        <v>10</v>
      </c>
      <c r="S30" s="2" t="s">
        <v>70</v>
      </c>
      <c r="T30" s="17">
        <v>3800</v>
      </c>
    </row>
    <row r="31" spans="10:32" ht="15.75" customHeight="1" x14ac:dyDescent="0.25">
      <c r="Q31" s="23"/>
      <c r="R31" s="1" t="s">
        <v>11</v>
      </c>
      <c r="S31" s="2" t="s">
        <v>37</v>
      </c>
      <c r="T31" s="17">
        <f>0.95*EXP((T30)/(T29*9.81))*(T27+T28)-(T27+T28)</f>
        <v>66453.412915555862</v>
      </c>
    </row>
    <row r="32" spans="10:32" ht="19.5" customHeight="1" x14ac:dyDescent="0.25">
      <c r="Q32" s="23"/>
      <c r="R32" s="1" t="s">
        <v>53</v>
      </c>
      <c r="T32" s="16">
        <f>0.5*(T27+T28)*T30^2</f>
        <v>384820495116.69495</v>
      </c>
    </row>
    <row r="33" spans="4:32" ht="18" customHeight="1" thickBot="1" x14ac:dyDescent="0.3">
      <c r="Q33" s="39"/>
      <c r="R33" s="24" t="s">
        <v>12</v>
      </c>
      <c r="S33" s="25"/>
      <c r="T33" s="26">
        <f>SUM(T31,T27,T28)</f>
        <v>119752.65046634462</v>
      </c>
    </row>
    <row r="34" spans="4:32" ht="14.25" customHeight="1" x14ac:dyDescent="0.25"/>
    <row r="41" spans="4:32" ht="37.5" customHeight="1" x14ac:dyDescent="0.25"/>
    <row r="42" spans="4:32" ht="36" customHeight="1" x14ac:dyDescent="0.25"/>
    <row r="43" spans="4:32" ht="15.75" customHeight="1" x14ac:dyDescent="0.25"/>
    <row r="44" spans="4:32" x14ac:dyDescent="0.25">
      <c r="W44" s="100" t="s">
        <v>137</v>
      </c>
      <c r="X44" s="100"/>
      <c r="Y44" s="100"/>
      <c r="Z44" s="100"/>
      <c r="AC44" s="100" t="s">
        <v>138</v>
      </c>
      <c r="AD44" s="100"/>
      <c r="AE44" s="100"/>
      <c r="AF44" s="100"/>
    </row>
    <row r="45" spans="4:32" ht="15.75" thickBot="1" x14ac:dyDescent="0.3">
      <c r="W45" s="2" t="s">
        <v>126</v>
      </c>
      <c r="X45" s="2" t="s">
        <v>139</v>
      </c>
      <c r="Y45" s="2" t="s">
        <v>38</v>
      </c>
      <c r="Z45" s="2" t="s">
        <v>81</v>
      </c>
      <c r="AC45" s="2" t="s">
        <v>126</v>
      </c>
      <c r="AD45" s="2" t="s">
        <v>139</v>
      </c>
      <c r="AE45" s="2" t="s">
        <v>38</v>
      </c>
      <c r="AF45" s="2" t="s">
        <v>81</v>
      </c>
    </row>
    <row r="46" spans="4:32" ht="15.75" thickBot="1" x14ac:dyDescent="0.3">
      <c r="D46" s="100" t="s">
        <v>136</v>
      </c>
      <c r="E46" s="100"/>
      <c r="F46" s="100"/>
      <c r="G46" s="100"/>
      <c r="J46" s="100" t="s">
        <v>157</v>
      </c>
      <c r="K46" s="100"/>
      <c r="L46" s="100"/>
      <c r="M46" s="100"/>
      <c r="Q46" s="99" t="s">
        <v>135</v>
      </c>
      <c r="R46" s="99"/>
      <c r="S46" s="99"/>
      <c r="T46" s="99"/>
      <c r="W46" s="27" t="s">
        <v>140</v>
      </c>
      <c r="X46" s="20" t="s">
        <v>106</v>
      </c>
      <c r="Y46" s="27"/>
      <c r="Z46" s="22">
        <f>Z20+Z14</f>
        <v>33710.994636143761</v>
      </c>
      <c r="AC46" s="27" t="s">
        <v>140</v>
      </c>
      <c r="AD46" s="20" t="s">
        <v>106</v>
      </c>
      <c r="AE46" s="27"/>
      <c r="AF46" s="34">
        <f>AF17+AF7</f>
        <v>101678.44801339123</v>
      </c>
    </row>
    <row r="47" spans="4:32" ht="15.75" thickBot="1" x14ac:dyDescent="0.3">
      <c r="D47" s="2" t="s">
        <v>126</v>
      </c>
      <c r="E47" s="2" t="s">
        <v>139</v>
      </c>
      <c r="F47" s="2" t="s">
        <v>38</v>
      </c>
      <c r="G47" s="2" t="s">
        <v>81</v>
      </c>
      <c r="J47" s="2" t="s">
        <v>126</v>
      </c>
      <c r="K47" s="2" t="s">
        <v>139</v>
      </c>
      <c r="L47" s="2" t="s">
        <v>38</v>
      </c>
      <c r="M47" s="2" t="s">
        <v>81</v>
      </c>
      <c r="Q47" s="2" t="s">
        <v>126</v>
      </c>
      <c r="R47" s="2" t="s">
        <v>139</v>
      </c>
      <c r="S47" s="2" t="s">
        <v>38</v>
      </c>
      <c r="T47" s="2" t="s">
        <v>81</v>
      </c>
      <c r="X47" s="1" t="s">
        <v>107</v>
      </c>
      <c r="Z47" s="2">
        <f>ROUNDUP(((Z11+Z14+Z17)/Z3), 0)</f>
        <v>2</v>
      </c>
      <c r="AD47" s="1" t="s">
        <v>107</v>
      </c>
      <c r="AF47" s="2">
        <f>ROUNDUP((AF6+AF14)/AF4, 0)</f>
        <v>1</v>
      </c>
    </row>
    <row r="48" spans="4:32" x14ac:dyDescent="0.25">
      <c r="D48" s="27" t="s">
        <v>140</v>
      </c>
      <c r="E48" s="20" t="s">
        <v>106</v>
      </c>
      <c r="F48" s="27"/>
      <c r="G48" s="22">
        <f>G11</f>
        <v>595238.59105931455</v>
      </c>
      <c r="J48" s="27" t="s">
        <v>140</v>
      </c>
      <c r="K48" s="20" t="s">
        <v>71</v>
      </c>
      <c r="L48" s="27"/>
      <c r="M48" s="22">
        <f>M14+M20</f>
        <v>186517.42273694044</v>
      </c>
      <c r="Q48" s="27" t="s">
        <v>140</v>
      </c>
      <c r="R48" s="20" t="s">
        <v>71</v>
      </c>
      <c r="S48" s="27"/>
      <c r="T48" s="22">
        <f>T15+T25+T31</f>
        <v>166575.91892926733</v>
      </c>
      <c r="X48" s="1" t="s">
        <v>108</v>
      </c>
      <c r="Z48" s="32">
        <f>ROUNDUP((Z14+Z16)/Z3, 0)</f>
        <v>2</v>
      </c>
      <c r="AD48" s="1" t="s">
        <v>108</v>
      </c>
      <c r="AF48" s="2">
        <v>1</v>
      </c>
    </row>
    <row r="49" spans="4:32" x14ac:dyDescent="0.25">
      <c r="E49" s="1" t="s">
        <v>107</v>
      </c>
      <c r="G49" s="17">
        <f>ROUNDUP(G7/G5, 0)</f>
        <v>1</v>
      </c>
      <c r="K49" s="1" t="s">
        <v>107</v>
      </c>
      <c r="M49" s="2">
        <f>ROUNDUP((M11+M17)/M4, 0)</f>
        <v>1</v>
      </c>
      <c r="R49" s="1" t="s">
        <v>107</v>
      </c>
      <c r="T49" s="17">
        <f>ROUNDUP((T11+T24+T28)/T3, 0)</f>
        <v>1</v>
      </c>
      <c r="W49">
        <v>1</v>
      </c>
      <c r="X49" s="48" t="s">
        <v>116</v>
      </c>
      <c r="Y49" s="47"/>
      <c r="Z49" s="49">
        <f>Z16</f>
        <v>10914.044321329638</v>
      </c>
      <c r="AC49">
        <v>1</v>
      </c>
      <c r="AD49" s="48" t="s">
        <v>116</v>
      </c>
      <c r="AE49" s="47"/>
      <c r="AF49" s="50">
        <f>AF14</f>
        <v>6311.0216400000008</v>
      </c>
    </row>
    <row r="50" spans="4:32" x14ac:dyDescent="0.25">
      <c r="E50" s="1" t="s">
        <v>108</v>
      </c>
      <c r="G50" s="17">
        <f>ROUNDUP((G48+G8)/G6, 0)</f>
        <v>11</v>
      </c>
      <c r="K50" s="1" t="s">
        <v>108</v>
      </c>
      <c r="M50" s="2">
        <f>ROUNDUP((M16+M14)/M4, 0)</f>
        <v>1</v>
      </c>
      <c r="R50" s="1" t="s">
        <v>108</v>
      </c>
      <c r="T50" s="2">
        <f>ROUNDUP(T15/T4, 0)</f>
        <v>1</v>
      </c>
      <c r="W50">
        <v>2</v>
      </c>
      <c r="X50" s="48" t="s">
        <v>115</v>
      </c>
      <c r="Y50" s="47"/>
      <c r="Z50" s="50">
        <f>Z49/Z48</f>
        <v>5457.0221606648192</v>
      </c>
      <c r="AC50">
        <v>2</v>
      </c>
      <c r="AD50" s="48" t="s">
        <v>115</v>
      </c>
      <c r="AE50" s="47"/>
      <c r="AF50" s="50">
        <f>AF14</f>
        <v>6311.0216400000008</v>
      </c>
    </row>
    <row r="51" spans="4:32" ht="15.75" thickBot="1" x14ac:dyDescent="0.3">
      <c r="D51">
        <v>1</v>
      </c>
      <c r="E51" s="48" t="s">
        <v>116</v>
      </c>
      <c r="F51" s="47"/>
      <c r="G51" s="49">
        <f>G8</f>
        <v>63800</v>
      </c>
      <c r="J51">
        <v>1</v>
      </c>
      <c r="K51" s="48" t="s">
        <v>116</v>
      </c>
      <c r="L51" s="47"/>
      <c r="M51" s="49">
        <f>M16</f>
        <v>36543.213296398892</v>
      </c>
      <c r="Q51">
        <v>1</v>
      </c>
      <c r="R51" s="48" t="s">
        <v>116</v>
      </c>
      <c r="S51" s="47"/>
      <c r="T51" s="49">
        <f>T27</f>
        <v>36543.213296398892</v>
      </c>
      <c r="W51">
        <v>3</v>
      </c>
      <c r="X51" s="1" t="s">
        <v>110</v>
      </c>
      <c r="Z51" s="17">
        <f>Z16</f>
        <v>10914.044321329638</v>
      </c>
      <c r="AC51">
        <v>3</v>
      </c>
      <c r="AD51" s="1" t="s">
        <v>110</v>
      </c>
      <c r="AF51" s="32">
        <f>AF50/AF48</f>
        <v>6311.0216400000008</v>
      </c>
    </row>
    <row r="52" spans="4:32" ht="45" x14ac:dyDescent="0.25">
      <c r="D52">
        <v>2</v>
      </c>
      <c r="E52" s="48" t="s">
        <v>115</v>
      </c>
      <c r="F52" s="47"/>
      <c r="G52" s="49">
        <f>G8</f>
        <v>63800</v>
      </c>
      <c r="J52">
        <v>2</v>
      </c>
      <c r="K52" s="48" t="s">
        <v>115</v>
      </c>
      <c r="L52" s="47"/>
      <c r="M52" s="49">
        <f>M16</f>
        <v>36543.213296398892</v>
      </c>
      <c r="Q52">
        <v>2</v>
      </c>
      <c r="R52" s="48" t="s">
        <v>115</v>
      </c>
      <c r="S52" s="47"/>
      <c r="T52" s="49">
        <f>T27</f>
        <v>36543.213296398892</v>
      </c>
      <c r="W52" s="27" t="s">
        <v>141</v>
      </c>
      <c r="X52" s="20" t="s">
        <v>111</v>
      </c>
      <c r="Y52" s="54" t="s">
        <v>120</v>
      </c>
      <c r="Z52" s="21">
        <v>3</v>
      </c>
      <c r="AC52" s="27" t="s">
        <v>141</v>
      </c>
      <c r="AD52" s="20" t="s">
        <v>111</v>
      </c>
      <c r="AE52" s="27"/>
      <c r="AF52" s="21">
        <v>0</v>
      </c>
    </row>
    <row r="53" spans="4:32" ht="45.75" thickBot="1" x14ac:dyDescent="0.3">
      <c r="D53">
        <v>3</v>
      </c>
      <c r="E53" s="1" t="s">
        <v>109</v>
      </c>
      <c r="G53" s="32">
        <f>G51/G50</f>
        <v>5800</v>
      </c>
      <c r="J53">
        <v>3</v>
      </c>
      <c r="K53" s="1" t="s">
        <v>109</v>
      </c>
      <c r="M53" s="32">
        <f>M51/M50</f>
        <v>36543.213296398892</v>
      </c>
      <c r="Q53">
        <v>3</v>
      </c>
      <c r="R53" s="1" t="s">
        <v>110</v>
      </c>
      <c r="T53" s="32">
        <f>T52/T50</f>
        <v>36543.213296398892</v>
      </c>
      <c r="X53" s="1" t="s">
        <v>117</v>
      </c>
      <c r="Y53" s="31" t="s">
        <v>121</v>
      </c>
      <c r="Z53" s="2">
        <v>3</v>
      </c>
      <c r="AD53" s="1" t="s">
        <v>117</v>
      </c>
      <c r="AF53" s="2">
        <v>0</v>
      </c>
    </row>
    <row r="54" spans="4:32" ht="75" x14ac:dyDescent="0.25">
      <c r="D54" s="27" t="s">
        <v>141</v>
      </c>
      <c r="E54" s="20" t="s">
        <v>111</v>
      </c>
      <c r="F54" s="27" t="s">
        <v>112</v>
      </c>
      <c r="G54" s="21">
        <v>11</v>
      </c>
      <c r="J54" s="27" t="s">
        <v>141</v>
      </c>
      <c r="K54" s="53" t="s">
        <v>111</v>
      </c>
      <c r="L54" s="55" t="s">
        <v>113</v>
      </c>
      <c r="M54" s="21">
        <v>4</v>
      </c>
      <c r="Q54" s="27" t="s">
        <v>141</v>
      </c>
      <c r="R54" s="53" t="s">
        <v>111</v>
      </c>
      <c r="S54" s="54" t="s">
        <v>114</v>
      </c>
      <c r="T54" s="21">
        <v>6</v>
      </c>
      <c r="X54" s="1" t="s">
        <v>122</v>
      </c>
      <c r="Z54" s="2">
        <v>1</v>
      </c>
      <c r="AD54" s="1" t="s">
        <v>122</v>
      </c>
      <c r="AF54" s="2">
        <v>1</v>
      </c>
    </row>
    <row r="55" spans="4:32" ht="60" x14ac:dyDescent="0.25">
      <c r="E55" s="1" t="s">
        <v>117</v>
      </c>
      <c r="G55" s="2">
        <v>10</v>
      </c>
      <c r="K55" s="1" t="s">
        <v>117</v>
      </c>
      <c r="L55" s="31" t="s">
        <v>118</v>
      </c>
      <c r="M55" s="2">
        <v>3</v>
      </c>
      <c r="R55" s="1" t="s">
        <v>117</v>
      </c>
      <c r="S55" s="31" t="s">
        <v>119</v>
      </c>
      <c r="T55" s="2">
        <v>4</v>
      </c>
      <c r="X55" s="1" t="s">
        <v>123</v>
      </c>
      <c r="Z55" s="2">
        <v>1</v>
      </c>
      <c r="AD55" s="1" t="s">
        <v>123</v>
      </c>
      <c r="AF55" s="2">
        <v>0</v>
      </c>
    </row>
    <row r="56" spans="4:32" x14ac:dyDescent="0.25">
      <c r="E56" s="1" t="s">
        <v>122</v>
      </c>
      <c r="G56" s="2">
        <v>1</v>
      </c>
      <c r="K56" s="1" t="s">
        <v>122</v>
      </c>
      <c r="M56" s="2">
        <v>1</v>
      </c>
      <c r="R56" s="1" t="s">
        <v>122</v>
      </c>
      <c r="T56" s="2">
        <v>1</v>
      </c>
      <c r="X56" s="1" t="s">
        <v>129</v>
      </c>
      <c r="AD56" s="1" t="s">
        <v>129</v>
      </c>
    </row>
    <row r="57" spans="4:32" x14ac:dyDescent="0.25">
      <c r="E57" s="1" t="s">
        <v>123</v>
      </c>
      <c r="G57" s="2">
        <v>0</v>
      </c>
      <c r="K57" s="1" t="s">
        <v>123</v>
      </c>
      <c r="M57" s="2">
        <v>0</v>
      </c>
      <c r="R57" s="1" t="s">
        <v>123</v>
      </c>
      <c r="T57" s="2">
        <v>0</v>
      </c>
      <c r="X57" s="1" t="s">
        <v>127</v>
      </c>
      <c r="AD57" s="1" t="s">
        <v>127</v>
      </c>
    </row>
    <row r="58" spans="4:32" x14ac:dyDescent="0.25">
      <c r="E58" s="1" t="s">
        <v>129</v>
      </c>
      <c r="K58" s="1" t="s">
        <v>129</v>
      </c>
      <c r="R58" s="1" t="s">
        <v>129</v>
      </c>
      <c r="X58" s="1" t="s">
        <v>124</v>
      </c>
      <c r="Z58" s="2">
        <f>Z55+Z54+Z53+Z52</f>
        <v>8</v>
      </c>
      <c r="AD58" s="1" t="s">
        <v>124</v>
      </c>
      <c r="AF58" s="2">
        <f>AF55+AF54+AF53+AF52</f>
        <v>1</v>
      </c>
    </row>
    <row r="59" spans="4:32" ht="15.75" thickBot="1" x14ac:dyDescent="0.3">
      <c r="E59" s="1" t="s">
        <v>127</v>
      </c>
      <c r="K59" s="1" t="s">
        <v>127</v>
      </c>
      <c r="R59" s="1" t="s">
        <v>127</v>
      </c>
      <c r="W59" s="28">
        <v>4</v>
      </c>
      <c r="X59" s="51" t="s">
        <v>128</v>
      </c>
      <c r="Y59" s="52"/>
      <c r="Z59" s="52">
        <f>SUM(Z56:Z58)</f>
        <v>8</v>
      </c>
      <c r="AC59" s="28">
        <v>4</v>
      </c>
      <c r="AD59" s="51" t="s">
        <v>128</v>
      </c>
      <c r="AE59" s="52"/>
      <c r="AF59" s="52">
        <f>SUM(AF56:AF58)</f>
        <v>1</v>
      </c>
    </row>
    <row r="60" spans="4:32" x14ac:dyDescent="0.25">
      <c r="E60" s="1" t="s">
        <v>124</v>
      </c>
      <c r="G60" s="2">
        <f>G57+G56+G55+G54</f>
        <v>22</v>
      </c>
      <c r="K60" s="1" t="s">
        <v>124</v>
      </c>
      <c r="M60" s="2">
        <f>M57+M56+M55+M54</f>
        <v>8</v>
      </c>
      <c r="R60" s="1" t="s">
        <v>124</v>
      </c>
      <c r="T60" s="2">
        <f>T57+T56+T55+T54</f>
        <v>11</v>
      </c>
      <c r="W60" s="27" t="s">
        <v>142</v>
      </c>
      <c r="X60" s="20" t="s">
        <v>160</v>
      </c>
      <c r="Y60" s="27" t="s">
        <v>155</v>
      </c>
      <c r="Z60" s="27">
        <v>0.125</v>
      </c>
      <c r="AC60" s="27" t="s">
        <v>142</v>
      </c>
      <c r="AD60" s="20" t="s">
        <v>160</v>
      </c>
      <c r="AE60" s="27" t="s">
        <v>155</v>
      </c>
      <c r="AF60" s="27">
        <v>0.125</v>
      </c>
    </row>
    <row r="61" spans="4:32" ht="15.75" thickBot="1" x14ac:dyDescent="0.3">
      <c r="D61" s="28">
        <v>4</v>
      </c>
      <c r="E61" s="51" t="s">
        <v>128</v>
      </c>
      <c r="F61" s="52"/>
      <c r="G61" s="52">
        <f>SUM(G58:G60)</f>
        <v>22</v>
      </c>
      <c r="J61" s="28">
        <v>4</v>
      </c>
      <c r="K61" s="51" t="s">
        <v>128</v>
      </c>
      <c r="L61" s="52"/>
      <c r="M61" s="52">
        <f>SUM(M58:M60)</f>
        <v>8</v>
      </c>
      <c r="Q61" s="28">
        <v>4</v>
      </c>
      <c r="R61" s="51" t="s">
        <v>128</v>
      </c>
      <c r="S61" s="52"/>
      <c r="T61" s="52">
        <f>SUM(T58:T60)</f>
        <v>11</v>
      </c>
      <c r="X61" s="1" t="s">
        <v>150</v>
      </c>
      <c r="Y61" s="64" t="s">
        <v>159</v>
      </c>
      <c r="Z61" s="64">
        <v>99</v>
      </c>
      <c r="AD61" s="1" t="s">
        <v>150</v>
      </c>
      <c r="AE61" s="64" t="s">
        <v>159</v>
      </c>
      <c r="AF61" s="64">
        <v>99</v>
      </c>
    </row>
    <row r="62" spans="4:32" x14ac:dyDescent="0.25">
      <c r="D62" s="27" t="s">
        <v>142</v>
      </c>
      <c r="E62" s="20" t="s">
        <v>151</v>
      </c>
      <c r="F62" s="27" t="s">
        <v>155</v>
      </c>
      <c r="G62" s="57">
        <f>3/24</f>
        <v>0.125</v>
      </c>
      <c r="J62" s="27" t="s">
        <v>142</v>
      </c>
      <c r="K62" s="20" t="s">
        <v>160</v>
      </c>
      <c r="L62" s="27" t="s">
        <v>155</v>
      </c>
      <c r="M62" s="27">
        <v>0.125</v>
      </c>
      <c r="Q62" s="27" t="s">
        <v>142</v>
      </c>
      <c r="R62" s="20" t="s">
        <v>160</v>
      </c>
      <c r="S62" s="27" t="s">
        <v>155</v>
      </c>
      <c r="T62" s="27">
        <v>0.125</v>
      </c>
      <c r="X62" s="59" t="s">
        <v>152</v>
      </c>
      <c r="Y62" t="s">
        <v>161</v>
      </c>
      <c r="Z62">
        <f>Z60</f>
        <v>0.125</v>
      </c>
      <c r="AD62" s="59" t="s">
        <v>152</v>
      </c>
      <c r="AE62" t="s">
        <v>177</v>
      </c>
      <c r="AF62">
        <v>0.1</v>
      </c>
    </row>
    <row r="63" spans="4:32" x14ac:dyDescent="0.25">
      <c r="E63" s="1" t="s">
        <v>158</v>
      </c>
      <c r="F63" t="s">
        <v>159</v>
      </c>
      <c r="G63" s="63">
        <f>99</f>
        <v>99</v>
      </c>
      <c r="K63" s="1" t="s">
        <v>150</v>
      </c>
      <c r="L63" s="64" t="s">
        <v>159</v>
      </c>
      <c r="M63" s="64">
        <v>99</v>
      </c>
      <c r="R63" s="1" t="s">
        <v>150</v>
      </c>
      <c r="S63" s="64" t="s">
        <v>159</v>
      </c>
      <c r="T63" s="64">
        <v>99</v>
      </c>
      <c r="X63" s="1" t="s">
        <v>153</v>
      </c>
      <c r="Y63" t="s">
        <v>172</v>
      </c>
      <c r="Z63">
        <v>270</v>
      </c>
      <c r="AD63" s="1" t="s">
        <v>153</v>
      </c>
      <c r="AE63" t="s">
        <v>179</v>
      </c>
      <c r="AF63">
        <v>3.04</v>
      </c>
    </row>
    <row r="64" spans="4:32" x14ac:dyDescent="0.25">
      <c r="E64" s="59" t="s">
        <v>152</v>
      </c>
      <c r="F64" s="60" t="s">
        <v>149</v>
      </c>
      <c r="G64" s="61">
        <f>G54*G62+(G48/G63/60/60/24)</f>
        <v>1.4445892479259392</v>
      </c>
      <c r="K64" s="59" t="s">
        <v>152</v>
      </c>
      <c r="L64" t="s">
        <v>161</v>
      </c>
      <c r="M64">
        <f>M62*2+(M14/M63/60/60/24)</f>
        <v>0.25966346065572432</v>
      </c>
      <c r="R64" s="59" t="s">
        <v>152</v>
      </c>
      <c r="S64" t="s">
        <v>161</v>
      </c>
      <c r="T64" s="58">
        <f>T62*2+(T15/T63/60/60/24)</f>
        <v>0.25966346065572432</v>
      </c>
      <c r="X64" s="1" t="s">
        <v>154</v>
      </c>
      <c r="Y64" t="s">
        <v>176</v>
      </c>
      <c r="Z64">
        <v>0.55000000000000004</v>
      </c>
      <c r="AD64" s="1" t="s">
        <v>154</v>
      </c>
      <c r="AE64" t="s">
        <v>178</v>
      </c>
      <c r="AF64">
        <f>0.1666</f>
        <v>0.1666</v>
      </c>
    </row>
    <row r="65" spans="4:32" ht="15.75" thickBot="1" x14ac:dyDescent="0.3">
      <c r="E65" s="1" t="s">
        <v>153</v>
      </c>
      <c r="F65" t="s">
        <v>148</v>
      </c>
      <c r="G65" s="58">
        <v>5</v>
      </c>
      <c r="K65" s="1" t="s">
        <v>153</v>
      </c>
      <c r="L65" t="s">
        <v>172</v>
      </c>
      <c r="M65">
        <v>5.0999999999999996</v>
      </c>
      <c r="R65" s="1" t="s">
        <v>153</v>
      </c>
      <c r="S65" t="s">
        <v>172</v>
      </c>
      <c r="T65" s="58">
        <f>M65</f>
        <v>5.0999999999999996</v>
      </c>
      <c r="X65" s="48" t="s">
        <v>166</v>
      </c>
      <c r="Y65" s="47"/>
      <c r="Z65" s="47">
        <f>SUM(Z62:Z64)</f>
        <v>270.67500000000001</v>
      </c>
      <c r="AD65" s="48" t="s">
        <v>166</v>
      </c>
      <c r="AE65" s="47"/>
      <c r="AF65" s="47">
        <f>SUM(AF62:AF64)</f>
        <v>3.3066</v>
      </c>
    </row>
    <row r="66" spans="4:32" ht="15.75" thickBot="1" x14ac:dyDescent="0.3">
      <c r="E66" s="1" t="s">
        <v>154</v>
      </c>
      <c r="F66" t="s">
        <v>164</v>
      </c>
      <c r="K66" s="1" t="s">
        <v>154</v>
      </c>
      <c r="L66" t="s">
        <v>162</v>
      </c>
      <c r="M66">
        <v>0.55000000000000004</v>
      </c>
      <c r="R66" s="1" t="s">
        <v>154</v>
      </c>
      <c r="S66" t="s">
        <v>173</v>
      </c>
      <c r="T66" s="58">
        <f>M66+T62+(T31/T63/60/60/24)</f>
        <v>0.68276905781373409</v>
      </c>
      <c r="X66" s="1" t="s">
        <v>163</v>
      </c>
      <c r="Y66" t="s">
        <v>168</v>
      </c>
      <c r="Z66">
        <f>Z64+Z60</f>
        <v>0.67500000000000004</v>
      </c>
      <c r="AC66" s="56" t="s">
        <v>143</v>
      </c>
      <c r="AD66" s="56"/>
      <c r="AE66" s="56"/>
      <c r="AF66" s="56"/>
    </row>
    <row r="67" spans="4:32" x14ac:dyDescent="0.25">
      <c r="E67" s="48" t="s">
        <v>166</v>
      </c>
      <c r="F67" s="47"/>
      <c r="G67" s="65">
        <f>SUM(G64:G66)</f>
        <v>6.444589247925939</v>
      </c>
      <c r="K67" s="48" t="s">
        <v>166</v>
      </c>
      <c r="L67" s="47"/>
      <c r="M67" s="47">
        <f>SUM(M64:M66)</f>
        <v>5.9096634606557235</v>
      </c>
      <c r="R67" s="1" t="s">
        <v>163</v>
      </c>
      <c r="S67" t="s">
        <v>170</v>
      </c>
      <c r="T67" s="58">
        <f>0.1666666</f>
        <v>0.1666666</v>
      </c>
      <c r="X67" s="1" t="s">
        <v>167</v>
      </c>
      <c r="Y67" t="s">
        <v>169</v>
      </c>
      <c r="Z67">
        <f>Z63</f>
        <v>270</v>
      </c>
      <c r="AC67" s="27" t="s">
        <v>144</v>
      </c>
      <c r="AD67" s="27"/>
      <c r="AE67" s="27"/>
      <c r="AF67" s="87"/>
    </row>
    <row r="68" spans="4:32" ht="15.75" thickBot="1" x14ac:dyDescent="0.3">
      <c r="E68" s="1" t="s">
        <v>163</v>
      </c>
      <c r="F68" t="s">
        <v>165</v>
      </c>
      <c r="G68" s="58">
        <f>G65</f>
        <v>5</v>
      </c>
      <c r="K68" s="1" t="s">
        <v>163</v>
      </c>
      <c r="L68" t="s">
        <v>168</v>
      </c>
      <c r="M68">
        <f>M66+M62</f>
        <v>0.67500000000000004</v>
      </c>
      <c r="R68" s="48" t="s">
        <v>166</v>
      </c>
      <c r="S68" s="47"/>
      <c r="T68" s="65">
        <f>SUM(T64:T67)</f>
        <v>6.2090991184694575</v>
      </c>
      <c r="X68" s="48" t="s">
        <v>156</v>
      </c>
      <c r="Y68" s="47"/>
      <c r="Z68" s="47">
        <f>SUM(Z65:Z67)</f>
        <v>541.35</v>
      </c>
      <c r="AC68" s="88" t="s">
        <v>198</v>
      </c>
      <c r="AD68" s="88" t="s">
        <v>145</v>
      </c>
      <c r="AE68" s="89"/>
      <c r="AF68" s="90"/>
    </row>
    <row r="69" spans="4:32" ht="15.75" thickBot="1" x14ac:dyDescent="0.3">
      <c r="D69" s="28"/>
      <c r="E69" s="48" t="s">
        <v>156</v>
      </c>
      <c r="F69" s="47"/>
      <c r="G69" s="62">
        <f>SUM(G64:G68)</f>
        <v>17.88917849585188</v>
      </c>
      <c r="K69" s="1" t="s">
        <v>167</v>
      </c>
      <c r="L69" t="s">
        <v>169</v>
      </c>
      <c r="M69">
        <v>5</v>
      </c>
      <c r="R69" s="1" t="s">
        <v>163</v>
      </c>
      <c r="S69" t="s">
        <v>175</v>
      </c>
      <c r="T69" s="58">
        <f>T67</f>
        <v>0.1666666</v>
      </c>
      <c r="W69" s="56" t="s">
        <v>143</v>
      </c>
      <c r="X69" s="56"/>
      <c r="Y69" s="56"/>
      <c r="Z69" s="56"/>
      <c r="AC69" s="1" t="s">
        <v>199</v>
      </c>
      <c r="AD69" s="1" t="s">
        <v>200</v>
      </c>
      <c r="AF69" s="18"/>
    </row>
    <row r="70" spans="4:32" ht="15.75" thickBot="1" x14ac:dyDescent="0.3">
      <c r="D70" s="56" t="s">
        <v>143</v>
      </c>
      <c r="E70" s="56"/>
      <c r="F70" s="56"/>
      <c r="G70" s="56"/>
      <c r="J70" s="28"/>
      <c r="K70" s="48" t="s">
        <v>156</v>
      </c>
      <c r="L70" s="52"/>
      <c r="M70" s="52">
        <f>SUM(M67+M68+M69)</f>
        <v>11.584663460655722</v>
      </c>
      <c r="R70" s="1" t="s">
        <v>167</v>
      </c>
      <c r="S70" t="s">
        <v>171</v>
      </c>
      <c r="T70" s="58">
        <f>M66+T62</f>
        <v>0.67500000000000004</v>
      </c>
      <c r="W70" s="27" t="s">
        <v>144</v>
      </c>
      <c r="X70" s="27"/>
      <c r="Y70" s="27"/>
      <c r="Z70" s="87"/>
      <c r="AC70" s="1"/>
      <c r="AD70" s="1" t="s">
        <v>201</v>
      </c>
      <c r="AF70" s="18"/>
    </row>
    <row r="71" spans="4:32" ht="15.75" thickBot="1" x14ac:dyDescent="0.3">
      <c r="D71" s="27" t="s">
        <v>144</v>
      </c>
      <c r="E71" s="27"/>
      <c r="F71" s="27"/>
      <c r="G71" s="87"/>
      <c r="J71" s="56" t="s">
        <v>143</v>
      </c>
      <c r="K71" s="56"/>
      <c r="L71" s="56"/>
      <c r="M71" s="56"/>
      <c r="R71" s="1" t="s">
        <v>174</v>
      </c>
      <c r="S71" t="s">
        <v>165</v>
      </c>
      <c r="T71" s="58">
        <v>5</v>
      </c>
      <c r="W71" s="88" t="s">
        <v>198</v>
      </c>
      <c r="X71" s="88" t="s">
        <v>145</v>
      </c>
      <c r="Y71" s="89"/>
      <c r="Z71" s="90"/>
      <c r="AC71" s="1"/>
      <c r="AD71" s="1" t="s">
        <v>202</v>
      </c>
      <c r="AE71" t="str">
        <f>AE4</f>
        <v>Falcon Heavy</v>
      </c>
      <c r="AF71" s="18">
        <f>Sheet6!F6</f>
        <v>2351.0971786833857</v>
      </c>
    </row>
    <row r="72" spans="4:32" ht="15.75" thickBot="1" x14ac:dyDescent="0.3">
      <c r="D72" s="88" t="s">
        <v>198</v>
      </c>
      <c r="E72" s="88" t="s">
        <v>145</v>
      </c>
      <c r="F72" s="89"/>
      <c r="G72" s="90"/>
      <c r="J72" s="27" t="s">
        <v>144</v>
      </c>
      <c r="K72" s="27"/>
      <c r="L72" s="27"/>
      <c r="M72" s="87"/>
      <c r="R72" s="48" t="s">
        <v>156</v>
      </c>
      <c r="S72" s="52"/>
      <c r="T72" s="65">
        <f>T68+T69+T70+T71</f>
        <v>12.050765718469457</v>
      </c>
      <c r="W72" s="1" t="s">
        <v>199</v>
      </c>
      <c r="X72" s="1" t="s">
        <v>200</v>
      </c>
      <c r="Z72" s="18"/>
      <c r="AC72" s="1"/>
      <c r="AD72" s="1" t="s">
        <v>203</v>
      </c>
      <c r="AF72" s="18">
        <f>AF71*(AF4)</f>
        <v>49373040.752351098</v>
      </c>
    </row>
    <row r="73" spans="4:32" ht="15.75" thickBot="1" x14ac:dyDescent="0.3">
      <c r="D73" s="1" t="s">
        <v>199</v>
      </c>
      <c r="E73" s="1" t="s">
        <v>200</v>
      </c>
      <c r="G73" s="18"/>
      <c r="J73" s="88" t="s">
        <v>198</v>
      </c>
      <c r="K73" s="88" t="s">
        <v>145</v>
      </c>
      <c r="L73" s="89"/>
      <c r="M73" s="90"/>
      <c r="Q73" s="56" t="s">
        <v>143</v>
      </c>
      <c r="R73" s="56"/>
      <c r="S73" s="56"/>
      <c r="T73" s="56"/>
      <c r="W73" s="1"/>
      <c r="X73" s="1" t="s">
        <v>201</v>
      </c>
      <c r="Z73" s="18"/>
      <c r="AC73" s="1"/>
      <c r="AD73" s="1" t="s">
        <v>204</v>
      </c>
      <c r="AF73" s="18">
        <f>AF69+AF70+AF72</f>
        <v>49373040.752351098</v>
      </c>
    </row>
    <row r="74" spans="4:32" x14ac:dyDescent="0.25">
      <c r="D74" s="1"/>
      <c r="E74" s="1" t="s">
        <v>201</v>
      </c>
      <c r="G74" s="18"/>
      <c r="J74" s="1" t="s">
        <v>199</v>
      </c>
      <c r="K74" s="1" t="s">
        <v>200</v>
      </c>
      <c r="M74" s="18"/>
      <c r="Q74" s="27" t="s">
        <v>144</v>
      </c>
      <c r="R74" s="27"/>
      <c r="S74" s="27"/>
      <c r="T74" s="87"/>
      <c r="W74" s="1"/>
      <c r="X74" s="1" t="s">
        <v>202</v>
      </c>
      <c r="Y74" t="str">
        <f>Y5</f>
        <v>Atlas V 551</v>
      </c>
      <c r="Z74" s="18">
        <f>Sheet6!F7</f>
        <v>3876.5864797408531</v>
      </c>
      <c r="AC74" s="59" t="s">
        <v>205</v>
      </c>
      <c r="AD74" s="60"/>
      <c r="AE74" s="60"/>
      <c r="AF74" s="91"/>
    </row>
    <row r="75" spans="4:32" x14ac:dyDescent="0.25">
      <c r="D75" s="1"/>
      <c r="E75" s="1" t="s">
        <v>202</v>
      </c>
      <c r="F75" t="str">
        <f>F5</f>
        <v>Falcon Heavy</v>
      </c>
      <c r="G75" s="18">
        <f>Sheet6!F6</f>
        <v>2351.0971786833857</v>
      </c>
      <c r="J75" s="1"/>
      <c r="K75" s="1" t="s">
        <v>201</v>
      </c>
      <c r="M75" s="18"/>
      <c r="Q75" s="88" t="s">
        <v>198</v>
      </c>
      <c r="R75" s="88" t="s">
        <v>145</v>
      </c>
      <c r="S75" s="89"/>
      <c r="T75" s="90"/>
      <c r="W75" s="1"/>
      <c r="X75" s="1" t="s">
        <v>203</v>
      </c>
      <c r="Z75" s="18">
        <f>Z74*(Z3)</f>
        <v>47427617.839135252</v>
      </c>
      <c r="AC75" s="1"/>
      <c r="AD75" s="1" t="s">
        <v>206</v>
      </c>
      <c r="AF75" s="18">
        <v>300000</v>
      </c>
    </row>
    <row r="76" spans="4:32" x14ac:dyDescent="0.25">
      <c r="D76" s="1"/>
      <c r="E76" s="1" t="s">
        <v>203</v>
      </c>
      <c r="G76" s="18">
        <f>G75*(G3)</f>
        <v>68778944.4724655</v>
      </c>
      <c r="J76" s="1"/>
      <c r="K76" s="1" t="s">
        <v>202</v>
      </c>
      <c r="L76" t="str">
        <f>L5</f>
        <v>Falcon Heavy</v>
      </c>
      <c r="M76" s="18">
        <f>Sheet6!F6</f>
        <v>2351.0971786833857</v>
      </c>
      <c r="Q76" s="1" t="s">
        <v>199</v>
      </c>
      <c r="R76" s="1" t="s">
        <v>200</v>
      </c>
      <c r="T76" s="18"/>
      <c r="W76" s="1"/>
      <c r="X76" s="1" t="s">
        <v>204</v>
      </c>
      <c r="Z76" s="18">
        <f>Z72+Z73+Z75</f>
        <v>47427617.839135252</v>
      </c>
      <c r="AC76" s="1"/>
      <c r="AD76" s="1" t="s">
        <v>207</v>
      </c>
      <c r="AE76" t="str">
        <f>AE5</f>
        <v>Falcon Heavy</v>
      </c>
      <c r="AF76" s="18">
        <f>Sheet6!F6</f>
        <v>2351.0971786833857</v>
      </c>
    </row>
    <row r="77" spans="4:32" x14ac:dyDescent="0.25">
      <c r="D77" s="1"/>
      <c r="E77" s="1" t="s">
        <v>204</v>
      </c>
      <c r="G77" s="18">
        <f>G73+G74+G76</f>
        <v>68778944.4724655</v>
      </c>
      <c r="J77" s="1"/>
      <c r="K77" s="1" t="s">
        <v>203</v>
      </c>
      <c r="M77" s="18">
        <f>M76*(M3)</f>
        <v>48564320.347311638</v>
      </c>
      <c r="Q77" s="1"/>
      <c r="R77" s="1" t="s">
        <v>201</v>
      </c>
      <c r="T77" s="18"/>
      <c r="W77" s="59" t="s">
        <v>205</v>
      </c>
      <c r="X77" s="60"/>
      <c r="Y77" s="60"/>
      <c r="Z77" s="91"/>
      <c r="AC77" s="1"/>
      <c r="AD77" s="1" t="s">
        <v>208</v>
      </c>
      <c r="AF77" s="18">
        <f>AF76*AF4*3.03809</f>
        <v>149999741.37931034</v>
      </c>
    </row>
    <row r="78" spans="4:32" x14ac:dyDescent="0.25">
      <c r="D78" s="59" t="s">
        <v>205</v>
      </c>
      <c r="E78" s="60"/>
      <c r="F78" s="60"/>
      <c r="G78" s="91"/>
      <c r="J78" s="1"/>
      <c r="K78" s="1" t="s">
        <v>204</v>
      </c>
      <c r="M78" s="18">
        <f>M74+M75+M77</f>
        <v>48564320.347311638</v>
      </c>
      <c r="Q78" s="1"/>
      <c r="R78" s="1" t="s">
        <v>202</v>
      </c>
      <c r="S78" t="str">
        <f>S5</f>
        <v>Falcon Heavy</v>
      </c>
      <c r="T78" s="18">
        <f>Sheet6!F6</f>
        <v>2351.0971786833857</v>
      </c>
      <c r="W78" s="1"/>
      <c r="X78" s="1" t="s">
        <v>206</v>
      </c>
      <c r="Z78" s="18">
        <v>300000</v>
      </c>
      <c r="AD78" s="1" t="s">
        <v>209</v>
      </c>
      <c r="AF78" s="18">
        <f>AF74+AF75+AF77</f>
        <v>150299741.37931034</v>
      </c>
    </row>
    <row r="79" spans="4:32" x14ac:dyDescent="0.25">
      <c r="D79" s="1"/>
      <c r="E79" s="1" t="s">
        <v>206</v>
      </c>
      <c r="G79" s="18">
        <v>300000</v>
      </c>
      <c r="J79" s="59" t="s">
        <v>205</v>
      </c>
      <c r="K79" s="60"/>
      <c r="L79" s="60"/>
      <c r="M79" s="91"/>
      <c r="Q79" s="1"/>
      <c r="R79" s="1" t="s">
        <v>203</v>
      </c>
      <c r="T79" s="18">
        <f>T78*(T3)</f>
        <v>52981338.207372464</v>
      </c>
      <c r="W79" s="1"/>
      <c r="X79" s="1" t="s">
        <v>207</v>
      </c>
      <c r="Y79" t="str">
        <f>Y6</f>
        <v>Atlas V 551</v>
      </c>
      <c r="Z79" s="18">
        <f>Sheet6!F7</f>
        <v>3876.5864797408531</v>
      </c>
      <c r="AC79" s="88" t="s">
        <v>210</v>
      </c>
      <c r="AD79" s="89"/>
      <c r="AE79" s="89"/>
      <c r="AF79" s="92"/>
    </row>
    <row r="80" spans="4:32" x14ac:dyDescent="0.25">
      <c r="D80" s="1"/>
      <c r="E80" s="1" t="s">
        <v>207</v>
      </c>
      <c r="F80" t="str">
        <f>F6</f>
        <v>Falcon Heavy</v>
      </c>
      <c r="G80" s="18">
        <f>Sheet6!F6</f>
        <v>2351.0971786833857</v>
      </c>
      <c r="J80" s="1"/>
      <c r="K80" s="1" t="s">
        <v>206</v>
      </c>
      <c r="M80" s="18">
        <v>300000</v>
      </c>
      <c r="Q80" s="1"/>
      <c r="R80" s="1" t="s">
        <v>204</v>
      </c>
      <c r="T80" s="18">
        <f>T76+T77+T79</f>
        <v>52981338.207372464</v>
      </c>
      <c r="W80" s="1"/>
      <c r="X80" s="1" t="s">
        <v>208</v>
      </c>
      <c r="Z80" s="18">
        <f>Z79*Z4</f>
        <v>52745070.635836259</v>
      </c>
      <c r="AC80" s="1" t="s">
        <v>211</v>
      </c>
      <c r="AD80" s="40" t="s">
        <v>212</v>
      </c>
      <c r="AE80" t="s">
        <v>213</v>
      </c>
      <c r="AF80" s="18">
        <f>(AF73/180)+AF78+AF68 +(AF79/180)</f>
        <v>150574036.05015674</v>
      </c>
    </row>
    <row r="81" spans="1:32" x14ac:dyDescent="0.25">
      <c r="D81" s="1"/>
      <c r="E81" s="1" t="s">
        <v>208</v>
      </c>
      <c r="G81" s="18">
        <f>G80*G4</f>
        <v>1549463772.0830281</v>
      </c>
      <c r="J81" s="1"/>
      <c r="K81" s="1" t="s">
        <v>207</v>
      </c>
      <c r="L81" t="str">
        <f>L6</f>
        <v>Falcon Heavy</v>
      </c>
      <c r="M81" s="18">
        <f>Sheet6!F6</f>
        <v>2351.0971786833857</v>
      </c>
      <c r="Q81" s="59" t="s">
        <v>205</v>
      </c>
      <c r="R81" s="60"/>
      <c r="S81" s="60"/>
      <c r="T81" s="91"/>
      <c r="X81" s="1" t="s">
        <v>209</v>
      </c>
      <c r="Z81" s="18">
        <f>Z77+Z78+Z80</f>
        <v>53045070.635836259</v>
      </c>
      <c r="AC81" s="1"/>
      <c r="AD81" s="48" t="s">
        <v>146</v>
      </c>
      <c r="AE81" s="47"/>
      <c r="AF81" s="93">
        <f>AF80/AF17</f>
        <v>16714.758838184509</v>
      </c>
    </row>
    <row r="82" spans="1:32" x14ac:dyDescent="0.25">
      <c r="E82" s="1" t="s">
        <v>209</v>
      </c>
      <c r="G82" s="18">
        <f>G78+G79+G81</f>
        <v>1549763772.0830281</v>
      </c>
      <c r="J82" s="1"/>
      <c r="K82" s="1" t="s">
        <v>208</v>
      </c>
      <c r="M82" s="18">
        <f>M81*M4</f>
        <v>280252171.69561762</v>
      </c>
      <c r="Q82" s="1"/>
      <c r="R82" s="1" t="s">
        <v>206</v>
      </c>
      <c r="T82" s="18">
        <v>300000</v>
      </c>
      <c r="W82" s="88" t="s">
        <v>210</v>
      </c>
      <c r="X82" s="89"/>
      <c r="Y82" s="89"/>
      <c r="Z82" s="92"/>
      <c r="AD82" s="48" t="s">
        <v>147</v>
      </c>
      <c r="AE82" s="47"/>
      <c r="AF82" s="93">
        <f>AF80/AF17</f>
        <v>16714.758838184509</v>
      </c>
    </row>
    <row r="83" spans="1:32" x14ac:dyDescent="0.25">
      <c r="D83" s="88" t="s">
        <v>210</v>
      </c>
      <c r="E83" s="89"/>
      <c r="F83" s="89"/>
      <c r="G83" s="92"/>
      <c r="K83" s="1" t="s">
        <v>209</v>
      </c>
      <c r="M83" s="18">
        <f>M79+M80+M82</f>
        <v>280552171.69561762</v>
      </c>
      <c r="Q83" s="1"/>
      <c r="R83" s="1" t="s">
        <v>207</v>
      </c>
      <c r="S83" t="str">
        <f>S6</f>
        <v>Falcon Heavy</v>
      </c>
      <c r="T83" s="18">
        <f>Sheet6!F6</f>
        <v>2351.0971786833857</v>
      </c>
      <c r="W83" s="1" t="s">
        <v>211</v>
      </c>
      <c r="X83" s="40" t="s">
        <v>212</v>
      </c>
      <c r="Y83" t="s">
        <v>213</v>
      </c>
      <c r="Z83" s="18">
        <f>(Z76/180)+Z81+Z71 +(Z82/180)</f>
        <v>53308557.401609235</v>
      </c>
    </row>
    <row r="84" spans="1:32" x14ac:dyDescent="0.25">
      <c r="A84" s="60" t="s">
        <v>236</v>
      </c>
      <c r="B84" s="60"/>
      <c r="D84" s="1" t="s">
        <v>211</v>
      </c>
      <c r="E84" s="40" t="s">
        <v>212</v>
      </c>
      <c r="F84" t="s">
        <v>213</v>
      </c>
      <c r="G84" s="18">
        <f>(G77/180)+G82+G72 +(G83/180)</f>
        <v>1550145877.3300974</v>
      </c>
      <c r="J84" s="88" t="s">
        <v>210</v>
      </c>
      <c r="K84" s="89"/>
      <c r="L84" s="89"/>
      <c r="M84" s="92"/>
      <c r="Q84" s="1"/>
      <c r="R84" s="1" t="s">
        <v>208</v>
      </c>
      <c r="T84" s="18">
        <f>T83*T4</f>
        <v>280252171.69561762</v>
      </c>
      <c r="W84" s="1"/>
      <c r="X84" s="48" t="s">
        <v>146</v>
      </c>
      <c r="Y84" s="47"/>
      <c r="Z84" s="93">
        <f>Z83/Z16</f>
        <v>4884.3999375581379</v>
      </c>
    </row>
    <row r="85" spans="1:32" x14ac:dyDescent="0.25">
      <c r="D85" s="1"/>
      <c r="E85" s="48" t="s">
        <v>146</v>
      </c>
      <c r="F85" s="47"/>
      <c r="G85" s="93">
        <f>G84/G8</f>
        <v>24296.957324923158</v>
      </c>
      <c r="J85" s="1" t="s">
        <v>211</v>
      </c>
      <c r="K85" s="40" t="s">
        <v>212</v>
      </c>
      <c r="L85" t="s">
        <v>213</v>
      </c>
      <c r="M85" s="18">
        <f>(M78/180)+M83+M73 +(M84/180)</f>
        <v>280821973.47532493</v>
      </c>
      <c r="R85" s="1" t="s">
        <v>209</v>
      </c>
      <c r="T85" s="18">
        <f>T81+T82+T84</f>
        <v>280552171.69561762</v>
      </c>
      <c r="X85" s="48" t="s">
        <v>147</v>
      </c>
      <c r="Y85" s="47"/>
      <c r="Z85" s="93">
        <f>Z83/Z16</f>
        <v>4884.3999375581379</v>
      </c>
    </row>
    <row r="86" spans="1:32" x14ac:dyDescent="0.25">
      <c r="E86" s="48" t="s">
        <v>147</v>
      </c>
      <c r="F86" s="47"/>
      <c r="G86" s="93">
        <f>G84/G8</f>
        <v>24296.957324923158</v>
      </c>
      <c r="J86" s="1"/>
      <c r="K86" s="48" t="s">
        <v>146</v>
      </c>
      <c r="L86" s="47"/>
      <c r="M86" s="93">
        <f>M85/M16</f>
        <v>7684.654636077069</v>
      </c>
      <c r="Q86" s="88" t="s">
        <v>210</v>
      </c>
      <c r="R86" s="89"/>
      <c r="S86" s="89"/>
      <c r="T86" s="92"/>
    </row>
    <row r="87" spans="1:32" x14ac:dyDescent="0.25">
      <c r="K87" s="48" t="s">
        <v>147</v>
      </c>
      <c r="L87" s="47"/>
      <c r="M87" s="93">
        <f>M85/M12</f>
        <v>7684.654636077069</v>
      </c>
      <c r="Q87" s="1" t="s">
        <v>211</v>
      </c>
      <c r="R87" s="40" t="s">
        <v>212</v>
      </c>
      <c r="S87" t="s">
        <v>213</v>
      </c>
      <c r="T87" s="18">
        <f>(T80/180)+T85+T75 +(T86/180)</f>
        <v>280846512.46343637</v>
      </c>
    </row>
    <row r="88" spans="1:32" x14ac:dyDescent="0.25">
      <c r="Q88" s="1"/>
      <c r="R88" s="48" t="s">
        <v>146</v>
      </c>
      <c r="S88" s="47"/>
      <c r="T88" s="93">
        <f>T87/T27</f>
        <v>7685.3261421078168</v>
      </c>
    </row>
    <row r="89" spans="1:32" x14ac:dyDescent="0.25">
      <c r="R89" s="48" t="s">
        <v>147</v>
      </c>
      <c r="S89" s="47"/>
      <c r="T89" s="93">
        <f>T87/T27</f>
        <v>7685.3261421078168</v>
      </c>
    </row>
    <row r="94" spans="1:32" x14ac:dyDescent="0.25"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</row>
  </sheetData>
  <mergeCells count="10">
    <mergeCell ref="W44:Z44"/>
    <mergeCell ref="AC44:AF44"/>
    <mergeCell ref="AC1:AF1"/>
    <mergeCell ref="W1:Z1"/>
    <mergeCell ref="Q1:T1"/>
    <mergeCell ref="Q46:T46"/>
    <mergeCell ref="D1:G1"/>
    <mergeCell ref="J1:M1"/>
    <mergeCell ref="D46:G46"/>
    <mergeCell ref="J46:M4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3A57-50A6-4EC7-8215-D5086793F090}">
  <dimension ref="C2:J8"/>
  <sheetViews>
    <sheetView workbookViewId="0">
      <selection activeCell="B29" sqref="B29"/>
    </sheetView>
  </sheetViews>
  <sheetFormatPr defaultRowHeight="15" x14ac:dyDescent="0.25"/>
  <cols>
    <col min="3" max="3" width="11.28515625" bestFit="1" customWidth="1"/>
    <col min="4" max="4" width="8.85546875" bestFit="1" customWidth="1"/>
    <col min="5" max="5" width="10" bestFit="1" customWidth="1"/>
    <col min="6" max="6" width="8.5703125" bestFit="1" customWidth="1"/>
    <col min="7" max="7" width="18.85546875" bestFit="1" customWidth="1"/>
    <col min="8" max="8" width="22.28515625" bestFit="1" customWidth="1"/>
    <col min="9" max="9" width="19.7109375" bestFit="1" customWidth="1"/>
    <col min="10" max="10" width="59" bestFit="1" customWidth="1"/>
  </cols>
  <sheetData>
    <row r="2" spans="3:10" ht="15.75" thickBot="1" x14ac:dyDescent="0.3"/>
    <row r="3" spans="3:10" ht="15.75" thickBot="1" x14ac:dyDescent="0.3">
      <c r="C3" s="101" t="s">
        <v>16</v>
      </c>
      <c r="D3" s="102"/>
      <c r="E3" s="102"/>
      <c r="F3" s="102"/>
      <c r="G3" s="102"/>
      <c r="H3" s="102"/>
      <c r="I3" s="102"/>
      <c r="J3" s="103"/>
    </row>
    <row r="4" spans="3:10" ht="15.75" thickBot="1" x14ac:dyDescent="0.3">
      <c r="C4" s="5" t="s">
        <v>17</v>
      </c>
      <c r="D4" s="5" t="s">
        <v>18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</row>
    <row r="5" spans="3:10" x14ac:dyDescent="0.25">
      <c r="C5" s="6" t="s">
        <v>25</v>
      </c>
      <c r="D5" s="7">
        <v>3490</v>
      </c>
      <c r="E5" s="8">
        <v>27200</v>
      </c>
      <c r="F5" s="6" t="s">
        <v>26</v>
      </c>
      <c r="G5" s="6">
        <v>22977</v>
      </c>
      <c r="H5" s="9">
        <v>1910</v>
      </c>
      <c r="I5" s="10">
        <f>0.5*G5*(H5^2)</f>
        <v>41911196850</v>
      </c>
      <c r="J5" s="11" t="s">
        <v>27</v>
      </c>
    </row>
    <row r="6" spans="3:10" x14ac:dyDescent="0.25">
      <c r="C6" s="12" t="s">
        <v>28</v>
      </c>
      <c r="D6" s="12">
        <v>2462</v>
      </c>
      <c r="E6" s="12">
        <v>20830</v>
      </c>
      <c r="F6" s="12" t="s">
        <v>26</v>
      </c>
      <c r="G6" s="12">
        <v>18850</v>
      </c>
      <c r="H6" s="13">
        <v>3076</v>
      </c>
      <c r="I6" s="14">
        <f>0.5*G6*(H6^2)</f>
        <v>89177238800</v>
      </c>
      <c r="J6" s="15" t="s">
        <v>29</v>
      </c>
    </row>
    <row r="7" spans="3:10" x14ac:dyDescent="0.25">
      <c r="C7" s="12" t="s">
        <v>13</v>
      </c>
      <c r="D7" s="12">
        <v>3900</v>
      </c>
      <c r="E7" s="12">
        <v>92670</v>
      </c>
      <c r="F7" s="12" t="s">
        <v>30</v>
      </c>
      <c r="G7" s="12">
        <v>15600</v>
      </c>
      <c r="H7" s="13">
        <v>5361</v>
      </c>
      <c r="I7" s="14">
        <f>0.5*G7*(H7^2)</f>
        <v>224174503800</v>
      </c>
      <c r="J7" s="15" t="s">
        <v>31</v>
      </c>
    </row>
    <row r="8" spans="3:10" x14ac:dyDescent="0.25">
      <c r="C8" s="12" t="s">
        <v>32</v>
      </c>
      <c r="D8" s="12">
        <v>4540</v>
      </c>
      <c r="E8" s="12">
        <v>14700</v>
      </c>
      <c r="F8" s="12" t="s">
        <v>26</v>
      </c>
      <c r="G8" s="12">
        <v>10865</v>
      </c>
      <c r="H8" s="12">
        <v>2350</v>
      </c>
      <c r="I8" s="14">
        <f>0.5*G8*(H8^2)</f>
        <v>30000981250</v>
      </c>
      <c r="J8" s="15" t="s">
        <v>33</v>
      </c>
    </row>
  </sheetData>
  <mergeCells count="1">
    <mergeCell ref="C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59C2-44B5-40C0-B117-24B7299CEE07}">
  <dimension ref="B7:J31"/>
  <sheetViews>
    <sheetView topLeftCell="A8" workbookViewId="0">
      <selection activeCell="H35" sqref="H35"/>
    </sheetView>
  </sheetViews>
  <sheetFormatPr defaultRowHeight="15" x14ac:dyDescent="0.25"/>
  <cols>
    <col min="3" max="3" width="15.42578125" customWidth="1"/>
    <col min="4" max="4" width="10.7109375" bestFit="1" customWidth="1"/>
    <col min="5" max="5" width="9.42578125" bestFit="1" customWidth="1"/>
    <col min="7" max="7" width="10.7109375" bestFit="1" customWidth="1"/>
    <col min="8" max="8" width="8.5703125" bestFit="1" customWidth="1"/>
    <col min="9" max="9" width="8.42578125" bestFit="1" customWidth="1"/>
    <col min="10" max="10" width="6.28515625" bestFit="1" customWidth="1"/>
  </cols>
  <sheetData>
    <row r="7" spans="2:10" x14ac:dyDescent="0.25">
      <c r="B7" s="104" t="s">
        <v>42</v>
      </c>
      <c r="C7" t="s">
        <v>47</v>
      </c>
      <c r="D7" t="s">
        <v>12</v>
      </c>
      <c r="E7" t="s">
        <v>8</v>
      </c>
      <c r="F7" t="s">
        <v>9</v>
      </c>
      <c r="G7" t="s">
        <v>11</v>
      </c>
      <c r="H7" t="s">
        <v>49</v>
      </c>
      <c r="I7" t="s">
        <v>20</v>
      </c>
      <c r="J7" t="s">
        <v>1</v>
      </c>
    </row>
    <row r="8" spans="2:10" x14ac:dyDescent="0.25">
      <c r="B8" s="104"/>
      <c r="C8" t="s">
        <v>48</v>
      </c>
      <c r="D8" s="105" t="s">
        <v>39</v>
      </c>
      <c r="E8" s="105"/>
      <c r="F8" s="105"/>
      <c r="G8" s="105"/>
      <c r="H8" s="105"/>
      <c r="I8" s="105"/>
      <c r="J8" s="105"/>
    </row>
    <row r="9" spans="2:10" x14ac:dyDescent="0.25">
      <c r="B9" s="104"/>
      <c r="C9" t="s">
        <v>43</v>
      </c>
      <c r="D9" s="17">
        <f>Sheet1!G16</f>
        <v>688292.56877493649</v>
      </c>
      <c r="E9" s="17">
        <f>Sheet1!G7</f>
        <v>29253.977715621993</v>
      </c>
      <c r="F9" s="17">
        <f>Sheet1!G8</f>
        <v>63800</v>
      </c>
      <c r="G9" s="17">
        <f>Sheet1!G11</f>
        <v>595238.59105931455</v>
      </c>
      <c r="H9" s="4">
        <f>Sheet1!G9^2*(Sheet1!G7+Sheet1!G8)</f>
        <v>7638205485218.0293</v>
      </c>
      <c r="I9" t="s">
        <v>26</v>
      </c>
      <c r="J9" s="2">
        <v>450</v>
      </c>
    </row>
    <row r="10" spans="2:10" x14ac:dyDescent="0.25">
      <c r="J10" s="2"/>
    </row>
    <row r="11" spans="2:10" x14ac:dyDescent="0.25">
      <c r="J11" s="2"/>
    </row>
    <row r="12" spans="2:10" x14ac:dyDescent="0.25">
      <c r="B12" s="104" t="s">
        <v>50</v>
      </c>
      <c r="C12" t="s">
        <v>47</v>
      </c>
      <c r="D12" t="s">
        <v>12</v>
      </c>
      <c r="E12" t="s">
        <v>8</v>
      </c>
      <c r="F12" t="s">
        <v>9</v>
      </c>
      <c r="G12" t="s">
        <v>11</v>
      </c>
      <c r="H12" t="s">
        <v>49</v>
      </c>
      <c r="I12" t="s">
        <v>20</v>
      </c>
      <c r="J12" s="2" t="s">
        <v>1</v>
      </c>
    </row>
    <row r="13" spans="2:10" x14ac:dyDescent="0.25">
      <c r="B13" s="104"/>
      <c r="C13" t="s">
        <v>48</v>
      </c>
      <c r="F13">
        <v>63800</v>
      </c>
      <c r="J13" s="2"/>
    </row>
    <row r="14" spans="2:10" x14ac:dyDescent="0.25">
      <c r="B14" s="104"/>
      <c r="C14" t="s">
        <v>2</v>
      </c>
      <c r="D14" s="17">
        <f>Sheet1!M15</f>
        <v>123100.59036120269</v>
      </c>
      <c r="E14" s="17">
        <f>Sheet1!M11</f>
        <v>3900</v>
      </c>
      <c r="F14" s="17">
        <f>Sheet1!M12</f>
        <v>36543.213296398892</v>
      </c>
      <c r="G14" s="17">
        <f>Sheet1!M14</f>
        <v>82657.37706480379</v>
      </c>
      <c r="H14" s="4">
        <f>Sheet1!M8</f>
        <v>292000000000</v>
      </c>
      <c r="I14" t="s">
        <v>52</v>
      </c>
      <c r="J14" s="17">
        <f>Sheet1!M13</f>
        <v>348</v>
      </c>
    </row>
    <row r="15" spans="2:10" x14ac:dyDescent="0.25">
      <c r="B15" s="104"/>
      <c r="C15" t="s">
        <v>3</v>
      </c>
      <c r="D15" s="17">
        <f>Sheet1!M22</f>
        <v>157159.28322292544</v>
      </c>
      <c r="E15" s="17">
        <f>Sheet1!M16</f>
        <v>36543.213296398892</v>
      </c>
      <c r="F15" s="17">
        <f>Sheet1!M17</f>
        <v>16756.024254389882</v>
      </c>
      <c r="G15" s="17">
        <f>Sheet1!M20</f>
        <v>103860.04567213666</v>
      </c>
      <c r="H15" s="4">
        <f>Sheet1!M21</f>
        <v>666240469384.85974</v>
      </c>
      <c r="I15" t="s">
        <v>26</v>
      </c>
      <c r="J15" s="17">
        <f>Sheet1!M18</f>
        <v>450</v>
      </c>
    </row>
    <row r="16" spans="2:10" x14ac:dyDescent="0.25">
      <c r="J16" s="2"/>
    </row>
    <row r="17" spans="2:10" x14ac:dyDescent="0.25">
      <c r="B17" s="104" t="s">
        <v>67</v>
      </c>
      <c r="C17" t="s">
        <v>47</v>
      </c>
      <c r="D17" t="s">
        <v>12</v>
      </c>
      <c r="E17" t="s">
        <v>8</v>
      </c>
      <c r="F17" t="s">
        <v>9</v>
      </c>
      <c r="G17" t="s">
        <v>11</v>
      </c>
      <c r="H17" t="s">
        <v>49</v>
      </c>
      <c r="I17" t="s">
        <v>20</v>
      </c>
      <c r="J17" s="2" t="s">
        <v>1</v>
      </c>
    </row>
    <row r="18" spans="2:10" x14ac:dyDescent="0.25">
      <c r="B18" s="104"/>
      <c r="C18" t="s">
        <v>48</v>
      </c>
      <c r="J18" s="2"/>
    </row>
    <row r="19" spans="2:10" x14ac:dyDescent="0.25">
      <c r="B19" s="104"/>
      <c r="C19" t="s">
        <v>72</v>
      </c>
      <c r="D19" s="17">
        <f>Sheet1!T16</f>
        <v>123100.59036120269</v>
      </c>
      <c r="E19" s="17">
        <f>Sheet1!T11</f>
        <v>3900</v>
      </c>
      <c r="F19" s="17">
        <f>Sheet1!T13</f>
        <v>36543.213296398892</v>
      </c>
      <c r="G19" s="17">
        <f>Sheet1!T15</f>
        <v>82657.37706480379</v>
      </c>
      <c r="H19" s="4">
        <f>Sheet1!T8</f>
        <v>292000000000</v>
      </c>
      <c r="I19" t="s">
        <v>52</v>
      </c>
      <c r="J19" s="17">
        <f>Sheet1!T14</f>
        <v>348</v>
      </c>
    </row>
    <row r="20" spans="2:10" x14ac:dyDescent="0.25">
      <c r="B20" s="104"/>
      <c r="C20" t="s">
        <v>54</v>
      </c>
      <c r="D20" s="17">
        <f>Sheet1!T26</f>
        <v>55857.71045513446</v>
      </c>
      <c r="E20" s="17">
        <f>Sheet1!T24</f>
        <v>1849.3682098278878</v>
      </c>
      <c r="F20" s="17">
        <f>Sheet1!T19</f>
        <v>36543.213296398892</v>
      </c>
      <c r="G20" s="17">
        <f>Sheet1!T25</f>
        <v>17465.128948907681</v>
      </c>
      <c r="H20" s="4">
        <f>Sheet1!T18</f>
        <v>31451202769.900978</v>
      </c>
      <c r="I20" t="s">
        <v>52</v>
      </c>
      <c r="J20" s="2">
        <f>Sheet1!T21</f>
        <v>348</v>
      </c>
    </row>
    <row r="21" spans="2:10" x14ac:dyDescent="0.25">
      <c r="B21" s="104"/>
      <c r="C21" t="s">
        <v>3</v>
      </c>
      <c r="D21" s="17">
        <f>Sheet1!T33</f>
        <v>119752.65046634462</v>
      </c>
      <c r="E21" s="17">
        <f>Sheet1!T28</f>
        <v>16756.024254389882</v>
      </c>
      <c r="F21" s="17">
        <f>Sheet1!T27</f>
        <v>36543.213296398892</v>
      </c>
      <c r="G21" s="17">
        <f>Sheet1!T31</f>
        <v>66453.412915555862</v>
      </c>
      <c r="H21" s="4">
        <f>Sheet1!T32</f>
        <v>384820495116.69495</v>
      </c>
      <c r="I21" t="s">
        <v>26</v>
      </c>
      <c r="J21" s="17">
        <f>Sheet1!T29</f>
        <v>450</v>
      </c>
    </row>
    <row r="23" spans="2:10" x14ac:dyDescent="0.25">
      <c r="B23" s="104" t="s">
        <v>69</v>
      </c>
      <c r="C23" t="s">
        <v>47</v>
      </c>
      <c r="D23" t="s">
        <v>12</v>
      </c>
      <c r="E23" t="s">
        <v>8</v>
      </c>
      <c r="F23" t="s">
        <v>9</v>
      </c>
      <c r="G23" t="s">
        <v>11</v>
      </c>
      <c r="H23" t="s">
        <v>49</v>
      </c>
      <c r="I23" t="s">
        <v>20</v>
      </c>
      <c r="J23" s="2" t="s">
        <v>1</v>
      </c>
    </row>
    <row r="24" spans="2:10" x14ac:dyDescent="0.25">
      <c r="B24" s="104"/>
      <c r="C24" t="s">
        <v>48</v>
      </c>
      <c r="J24" s="2"/>
    </row>
    <row r="25" spans="2:10" x14ac:dyDescent="0.25">
      <c r="B25" s="104"/>
      <c r="C25" t="s">
        <v>83</v>
      </c>
      <c r="D25" s="17">
        <f>Sheet1!Z15</f>
        <v>20836.060618403186</v>
      </c>
      <c r="E25" s="17">
        <f>Sheet1!Z11</f>
        <v>7230</v>
      </c>
      <c r="F25" s="17">
        <f>Sheet1!Z12</f>
        <v>10914.044321329638</v>
      </c>
      <c r="G25" s="17">
        <f>Sheet1!Z14</f>
        <v>2692.0162970735473</v>
      </c>
      <c r="H25" s="4">
        <f>Sheet1!Z8</f>
        <v>131000000000</v>
      </c>
      <c r="I25" s="33" t="s">
        <v>99</v>
      </c>
      <c r="J25" s="17">
        <f>Sheet1!Z13</f>
        <v>2800</v>
      </c>
    </row>
    <row r="26" spans="2:10" x14ac:dyDescent="0.25">
      <c r="B26" s="104"/>
      <c r="C26" t="s">
        <v>3</v>
      </c>
      <c r="D26" s="17">
        <f>Sheet1!Z21</f>
        <v>46937.398982711573</v>
      </c>
      <c r="E26" s="17">
        <f>Sheet1!Z17</f>
        <v>5004.3763223117239</v>
      </c>
      <c r="F26" s="17">
        <f>Sheet1!Z16</f>
        <v>10914.044321329638</v>
      </c>
      <c r="G26" s="17">
        <f>Sheet1!Z20</f>
        <v>31018.97833907021</v>
      </c>
      <c r="H26" s="4">
        <f>Sheet1!Z22</f>
        <v>198980258045.51703</v>
      </c>
      <c r="I26" t="s">
        <v>26</v>
      </c>
      <c r="J26" s="17">
        <f>Sheet1!Z18</f>
        <v>450</v>
      </c>
    </row>
    <row r="27" spans="2:10" x14ac:dyDescent="0.25">
      <c r="B27" s="23"/>
    </row>
    <row r="28" spans="2:10" x14ac:dyDescent="0.25">
      <c r="B28" t="s">
        <v>100</v>
      </c>
      <c r="C28" t="s">
        <v>47</v>
      </c>
      <c r="D28" t="s">
        <v>12</v>
      </c>
      <c r="E28" t="s">
        <v>8</v>
      </c>
      <c r="F28" t="s">
        <v>9</v>
      </c>
      <c r="G28" t="s">
        <v>11</v>
      </c>
      <c r="H28" t="s">
        <v>49</v>
      </c>
      <c r="I28" t="s">
        <v>20</v>
      </c>
      <c r="J28" s="2" t="s">
        <v>1</v>
      </c>
    </row>
    <row r="29" spans="2:10" x14ac:dyDescent="0.25">
      <c r="C29" t="s">
        <v>48</v>
      </c>
    </row>
    <row r="30" spans="2:10" x14ac:dyDescent="0.25">
      <c r="C30" t="s">
        <v>2</v>
      </c>
      <c r="D30" s="33">
        <f>Sheet1!AF8</f>
        <v>117570</v>
      </c>
      <c r="E30" s="33">
        <f>Sheet1!AF6</f>
        <v>3900</v>
      </c>
      <c r="F30" s="33">
        <f>Sheet1!AF4</f>
        <v>21000</v>
      </c>
      <c r="G30" s="33">
        <f>Sheet1!AF7</f>
        <v>92670</v>
      </c>
      <c r="H30" s="4">
        <f>Sheet1!AF11</f>
        <v>179778000000</v>
      </c>
      <c r="I30" t="s">
        <v>52</v>
      </c>
      <c r="J30" s="33">
        <f>Sheet1!AF10</f>
        <v>348</v>
      </c>
    </row>
    <row r="31" spans="2:10" x14ac:dyDescent="0.25">
      <c r="C31" t="s">
        <v>3</v>
      </c>
      <c r="D31" s="33">
        <f>Sheet1!AF12</f>
        <v>21000</v>
      </c>
      <c r="E31" s="33">
        <f>Sheet1!AF13</f>
        <v>3116.4</v>
      </c>
      <c r="F31" s="33">
        <f>Sheet1!AF14</f>
        <v>6311.0216400000008</v>
      </c>
      <c r="G31" s="33">
        <f>Sheet1!AF17</f>
        <v>9008.4480133912293</v>
      </c>
      <c r="H31" s="4">
        <f>Sheet1!AF18</f>
        <v>29460692625</v>
      </c>
      <c r="I31" t="s">
        <v>26</v>
      </c>
      <c r="J31" s="33">
        <f>Sheet1!AF16</f>
        <v>450</v>
      </c>
    </row>
  </sheetData>
  <mergeCells count="5">
    <mergeCell ref="B23:B26"/>
    <mergeCell ref="D8:J8"/>
    <mergeCell ref="B7:B9"/>
    <mergeCell ref="B12:B15"/>
    <mergeCell ref="B17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5C4A-6611-45E2-BB7C-3CFB0014F712}">
  <dimension ref="C2:L13"/>
  <sheetViews>
    <sheetView zoomScale="85" zoomScaleNormal="85" workbookViewId="0">
      <selection activeCell="G5" sqref="G5"/>
    </sheetView>
  </sheetViews>
  <sheetFormatPr defaultRowHeight="15" x14ac:dyDescent="0.25"/>
  <cols>
    <col min="3" max="3" width="22" customWidth="1"/>
    <col min="4" max="6" width="16.42578125" customWidth="1"/>
    <col min="7" max="7" width="19.28515625" customWidth="1"/>
    <col min="8" max="8" width="17.85546875" customWidth="1"/>
    <col min="9" max="9" width="21" customWidth="1"/>
    <col min="10" max="11" width="16.42578125" customWidth="1"/>
    <col min="12" max="12" width="13.140625" customWidth="1"/>
  </cols>
  <sheetData>
    <row r="2" spans="3:12" ht="15.75" thickBot="1" x14ac:dyDescent="0.3"/>
    <row r="3" spans="3:12" ht="18" customHeight="1" thickBot="1" x14ac:dyDescent="0.3">
      <c r="C3" s="66" t="s">
        <v>235</v>
      </c>
      <c r="D3" s="67" t="s">
        <v>234</v>
      </c>
      <c r="E3" s="66" t="s">
        <v>233</v>
      </c>
      <c r="F3" s="66" t="s">
        <v>180</v>
      </c>
      <c r="G3" s="66" t="s">
        <v>181</v>
      </c>
      <c r="H3" s="66" t="s">
        <v>182</v>
      </c>
      <c r="I3" s="66" t="s">
        <v>183</v>
      </c>
      <c r="J3" s="66" t="s">
        <v>184</v>
      </c>
      <c r="K3" s="66" t="s">
        <v>186</v>
      </c>
      <c r="L3" s="66" t="s">
        <v>185</v>
      </c>
    </row>
    <row r="4" spans="3:12" ht="60.75" customHeight="1" thickBot="1" x14ac:dyDescent="0.3">
      <c r="C4" s="82" t="s">
        <v>232</v>
      </c>
      <c r="D4" s="69"/>
      <c r="E4" s="75">
        <v>1</v>
      </c>
      <c r="F4" s="70">
        <v>1</v>
      </c>
      <c r="G4" s="70">
        <v>1</v>
      </c>
      <c r="H4" s="70">
        <v>1</v>
      </c>
      <c r="I4" s="70">
        <v>1</v>
      </c>
      <c r="J4" s="70">
        <v>1</v>
      </c>
      <c r="K4" s="71">
        <f t="shared" ref="K4:K10" si="0">SUM(D4:J4)+1</f>
        <v>7</v>
      </c>
      <c r="L4" s="72">
        <f>K4/SUM(K4:K10)</f>
        <v>0.25</v>
      </c>
    </row>
    <row r="5" spans="3:12" ht="60.75" customHeight="1" thickBot="1" x14ac:dyDescent="0.3">
      <c r="C5" s="82" t="s">
        <v>233</v>
      </c>
      <c r="D5" s="75">
        <v>0</v>
      </c>
      <c r="E5" s="74"/>
      <c r="F5" s="75">
        <v>0</v>
      </c>
      <c r="G5" s="75">
        <v>0</v>
      </c>
      <c r="H5" s="75">
        <v>1</v>
      </c>
      <c r="I5" s="75">
        <v>1</v>
      </c>
      <c r="J5" s="75">
        <v>1</v>
      </c>
      <c r="K5" s="68">
        <f t="shared" si="0"/>
        <v>4</v>
      </c>
      <c r="L5" s="72">
        <f>K5/SUM(K4:K10)</f>
        <v>0.14285714285714285</v>
      </c>
    </row>
    <row r="6" spans="3:12" ht="60.75" customHeight="1" thickBot="1" x14ac:dyDescent="0.3">
      <c r="C6" s="82" t="s">
        <v>180</v>
      </c>
      <c r="D6" s="73">
        <v>0</v>
      </c>
      <c r="E6" s="75">
        <v>1</v>
      </c>
      <c r="F6" s="74"/>
      <c r="G6" s="75">
        <v>1</v>
      </c>
      <c r="H6" s="75">
        <v>0</v>
      </c>
      <c r="I6" s="75">
        <v>1</v>
      </c>
      <c r="J6" s="75">
        <v>1</v>
      </c>
      <c r="K6" s="68">
        <f t="shared" si="0"/>
        <v>5</v>
      </c>
      <c r="L6" s="76">
        <f>K6/SUM($K$4:$K$10)</f>
        <v>0.17857142857142858</v>
      </c>
    </row>
    <row r="7" spans="3:12" ht="60.75" customHeight="1" thickBot="1" x14ac:dyDescent="0.3">
      <c r="C7" s="82" t="s">
        <v>181</v>
      </c>
      <c r="D7" s="73">
        <v>0</v>
      </c>
      <c r="E7" s="75">
        <v>1</v>
      </c>
      <c r="F7" s="75">
        <v>0</v>
      </c>
      <c r="G7" s="74"/>
      <c r="H7" s="75">
        <v>0</v>
      </c>
      <c r="I7" s="75">
        <v>1</v>
      </c>
      <c r="J7" s="75">
        <v>1</v>
      </c>
      <c r="K7" s="68">
        <f t="shared" si="0"/>
        <v>4</v>
      </c>
      <c r="L7" s="76">
        <f>K7/SUM($K$4:$K$10)</f>
        <v>0.14285714285714285</v>
      </c>
    </row>
    <row r="8" spans="3:12" ht="60.75" customHeight="1" thickBot="1" x14ac:dyDescent="0.3">
      <c r="C8" s="82" t="s">
        <v>182</v>
      </c>
      <c r="D8" s="73">
        <v>0</v>
      </c>
      <c r="E8" s="75">
        <v>0</v>
      </c>
      <c r="F8" s="75">
        <v>1</v>
      </c>
      <c r="G8" s="75">
        <v>1</v>
      </c>
      <c r="H8" s="74"/>
      <c r="I8" s="75">
        <v>0</v>
      </c>
      <c r="J8" s="75">
        <v>0</v>
      </c>
      <c r="K8" s="68">
        <f t="shared" si="0"/>
        <v>3</v>
      </c>
      <c r="L8" s="76">
        <f>K8/SUM($K$4:$K$10)</f>
        <v>0.10714285714285714</v>
      </c>
    </row>
    <row r="9" spans="3:12" ht="60.75" customHeight="1" thickBot="1" x14ac:dyDescent="0.3">
      <c r="C9" s="82" t="s">
        <v>183</v>
      </c>
      <c r="D9" s="73">
        <v>0</v>
      </c>
      <c r="E9" s="75">
        <v>0</v>
      </c>
      <c r="F9" s="75">
        <v>0</v>
      </c>
      <c r="G9" s="75">
        <v>0</v>
      </c>
      <c r="H9" s="75">
        <v>1</v>
      </c>
      <c r="I9" s="74"/>
      <c r="J9" s="75">
        <v>1</v>
      </c>
      <c r="K9" s="68">
        <f t="shared" si="0"/>
        <v>3</v>
      </c>
      <c r="L9" s="76">
        <f>K9/SUM($K$4:$K$10)</f>
        <v>0.10714285714285714</v>
      </c>
    </row>
    <row r="10" spans="3:12" ht="59.25" customHeight="1" thickBot="1" x14ac:dyDescent="0.3">
      <c r="C10" s="82" t="s">
        <v>184</v>
      </c>
      <c r="D10" s="77">
        <v>0</v>
      </c>
      <c r="E10" s="78">
        <v>0</v>
      </c>
      <c r="F10" s="78">
        <v>0</v>
      </c>
      <c r="G10" s="78">
        <v>0</v>
      </c>
      <c r="H10" s="78">
        <v>1</v>
      </c>
      <c r="I10" s="78">
        <v>0</v>
      </c>
      <c r="J10" s="79"/>
      <c r="K10" s="80">
        <f t="shared" si="0"/>
        <v>2</v>
      </c>
      <c r="L10" s="81">
        <f>K10/SUM($K$4:$K$10)</f>
        <v>7.1428571428571425E-2</v>
      </c>
    </row>
    <row r="13" spans="3:12" x14ac:dyDescent="0.25">
      <c r="L13" s="63">
        <f>SUM(L4:L10)</f>
        <v>0.99999999999999978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FC45-A3E7-4C9B-8682-7F494A0D9F79}">
  <dimension ref="C3:Q11"/>
  <sheetViews>
    <sheetView topLeftCell="C1" workbookViewId="0">
      <selection activeCell="H16" sqref="H16"/>
    </sheetView>
  </sheetViews>
  <sheetFormatPr defaultRowHeight="15" x14ac:dyDescent="0.25"/>
  <cols>
    <col min="3" max="3" width="32" customWidth="1"/>
    <col min="4" max="4" width="10.28515625" customWidth="1"/>
    <col min="10" max="10" width="9.140625" customWidth="1"/>
    <col min="11" max="11" width="28.42578125" bestFit="1" customWidth="1"/>
    <col min="12" max="12" width="7.5703125" customWidth="1"/>
  </cols>
  <sheetData>
    <row r="3" spans="3:17" x14ac:dyDescent="0.25">
      <c r="C3" s="2" t="s">
        <v>126</v>
      </c>
      <c r="D3" s="2" t="s">
        <v>42</v>
      </c>
      <c r="E3" s="2" t="s">
        <v>50</v>
      </c>
      <c r="F3" s="2" t="s">
        <v>67</v>
      </c>
      <c r="G3" s="2" t="s">
        <v>69</v>
      </c>
      <c r="H3" s="2" t="s">
        <v>100</v>
      </c>
      <c r="K3" t="s">
        <v>126</v>
      </c>
      <c r="L3" t="s">
        <v>230</v>
      </c>
      <c r="M3" t="s">
        <v>42</v>
      </c>
      <c r="N3" t="s">
        <v>50</v>
      </c>
      <c r="O3" t="s">
        <v>67</v>
      </c>
      <c r="P3" t="s">
        <v>69</v>
      </c>
      <c r="Q3" t="s">
        <v>100</v>
      </c>
    </row>
    <row r="4" spans="3:17" ht="24" customHeight="1" x14ac:dyDescent="0.25">
      <c r="C4" s="83" t="s">
        <v>187</v>
      </c>
      <c r="D4" s="85">
        <f>Sheet1!G85</f>
        <v>24296.957324923158</v>
      </c>
      <c r="E4" s="85">
        <f>Sheet1!M86</f>
        <v>7684.654636077069</v>
      </c>
      <c r="F4" s="85">
        <f>Sheet1!T88</f>
        <v>7685.3261421078168</v>
      </c>
      <c r="G4" s="85">
        <f>Sheet1!Z84</f>
        <v>4884.3999375581379</v>
      </c>
      <c r="H4" s="85">
        <f>Sheet1!AF81</f>
        <v>16714.758838184509</v>
      </c>
      <c r="K4" t="s">
        <v>187</v>
      </c>
      <c r="L4" s="29">
        <f>Sheet4!L4</f>
        <v>0.25</v>
      </c>
      <c r="M4" s="29">
        <f ca="1">(100-D4/MAX($D4:$H4)*100)*$M4</f>
        <v>0</v>
      </c>
      <c r="N4" s="29">
        <f t="shared" ref="N4:Q5" si="0">(100-E4/MAX($D4:$H4)*100)*$L4</f>
        <v>17.092986651260283</v>
      </c>
      <c r="O4" s="29">
        <f t="shared" si="0"/>
        <v>17.092295714920219</v>
      </c>
      <c r="P4" s="29">
        <f t="shared" si="0"/>
        <v>19.974267896758565</v>
      </c>
      <c r="Q4" s="29">
        <f t="shared" si="0"/>
        <v>7.801592587645775</v>
      </c>
    </row>
    <row r="5" spans="3:17" ht="24" customHeight="1" x14ac:dyDescent="0.25">
      <c r="C5" s="1" t="s">
        <v>192</v>
      </c>
      <c r="D5" s="85">
        <f>Sheet1!G86</f>
        <v>24296.957324923158</v>
      </c>
      <c r="E5" s="85">
        <f>Sheet1!M87</f>
        <v>7684.654636077069</v>
      </c>
      <c r="F5" s="85">
        <f>Sheet1!T89</f>
        <v>7685.3261421078168</v>
      </c>
      <c r="G5" s="85">
        <f>Sheet1!Z85</f>
        <v>4884.3999375581379</v>
      </c>
      <c r="H5" s="85">
        <f>Sheet1!AF82</f>
        <v>16714.758838184509</v>
      </c>
      <c r="K5" t="s">
        <v>192</v>
      </c>
      <c r="L5" s="29">
        <f>Sheet4!L5</f>
        <v>0.14285714285714285</v>
      </c>
      <c r="M5" s="29">
        <f ca="1">(100-D5/MAX($D5:$H5)*100)*$M5</f>
        <v>0</v>
      </c>
      <c r="N5" s="29">
        <f t="shared" si="0"/>
        <v>9.7674209435773047</v>
      </c>
      <c r="O5" s="29">
        <f t="shared" si="0"/>
        <v>9.7670261228115525</v>
      </c>
      <c r="P5" s="29">
        <f t="shared" si="0"/>
        <v>11.413867369576323</v>
      </c>
      <c r="Q5" s="29">
        <f t="shared" si="0"/>
        <v>4.4580529072261568</v>
      </c>
    </row>
    <row r="6" spans="3:17" ht="24" customHeight="1" x14ac:dyDescent="0.25">
      <c r="C6" s="83" t="s">
        <v>188</v>
      </c>
      <c r="D6" s="86">
        <f>Sheet1!G53</f>
        <v>5800</v>
      </c>
      <c r="E6" s="86">
        <f>Sheet1!M53</f>
        <v>36543.213296398892</v>
      </c>
      <c r="F6" s="86">
        <f>Sheet1!T53</f>
        <v>36543.213296398892</v>
      </c>
      <c r="G6" s="86">
        <f>Sheet1!Z51</f>
        <v>10914.044321329638</v>
      </c>
      <c r="H6" s="86">
        <f>Sheet1!AF51</f>
        <v>6311.0216400000008</v>
      </c>
      <c r="K6" t="s">
        <v>188</v>
      </c>
      <c r="L6" s="29">
        <f>Sheet4!L6</f>
        <v>0.17857142857142858</v>
      </c>
      <c r="M6" s="29">
        <f>(D6/MAX($D6:$H6)*100)*$L6</f>
        <v>2.8342178814810164</v>
      </c>
      <c r="N6" s="29">
        <f>(E6/MAX($D6:$H6)*100)*$L6</f>
        <v>17.857142857142858</v>
      </c>
      <c r="O6" s="29">
        <f>(F6/MAX($D6:$H6)*100)*$L6</f>
        <v>17.857142857142858</v>
      </c>
      <c r="P6" s="29">
        <f>(G6/MAX($D6:$H6)*100)*$L6</f>
        <v>5.3332378577222075</v>
      </c>
      <c r="Q6" s="29">
        <f>(H6/MAX($D6:$H6)*100)*$L6</f>
        <v>3.0839328245692506</v>
      </c>
    </row>
    <row r="7" spans="3:17" ht="24" customHeight="1" x14ac:dyDescent="0.25">
      <c r="C7" s="83" t="s">
        <v>189</v>
      </c>
      <c r="D7" s="86">
        <f>Sheet1!G53</f>
        <v>5800</v>
      </c>
      <c r="E7" s="86">
        <f>Sheet1!M53</f>
        <v>36543.213296398892</v>
      </c>
      <c r="F7" s="86">
        <f>Sheet1!T53</f>
        <v>36543.213296398892</v>
      </c>
      <c r="G7" s="86">
        <f>Sheet1!Z51</f>
        <v>10914.044321329638</v>
      </c>
      <c r="H7" s="86">
        <f>Sheet1!AF51</f>
        <v>6311.0216400000008</v>
      </c>
      <c r="K7" t="s">
        <v>189</v>
      </c>
      <c r="L7" s="29">
        <f>Sheet4!L7</f>
        <v>0.14285714285714285</v>
      </c>
      <c r="M7" s="29">
        <f t="shared" ref="M7:M8" si="1">(D7/MAX($D7:$H7)*100)*$L7</f>
        <v>2.2673743051848128</v>
      </c>
      <c r="N7" s="29">
        <f t="shared" ref="N7:N8" si="2">(E7/MAX($D7:$H7)*100)*$L7</f>
        <v>14.285714285714285</v>
      </c>
      <c r="O7" s="29">
        <f t="shared" ref="O7:O8" si="3">(F7/MAX($D7:$H7)*100)*$L7</f>
        <v>14.285714285714285</v>
      </c>
      <c r="P7" s="29">
        <f t="shared" ref="P7:P8" si="4">(G7/MAX($D7:$H7)*100)*$L7</f>
        <v>4.2665902861777658</v>
      </c>
      <c r="Q7" s="29">
        <f t="shared" ref="Q7:Q8" si="5">(H7/MAX($D7:$H7)*100)*$L7</f>
        <v>2.4671462596554004</v>
      </c>
    </row>
    <row r="8" spans="3:17" ht="24" customHeight="1" x14ac:dyDescent="0.25">
      <c r="C8" s="83" t="s">
        <v>190</v>
      </c>
      <c r="D8" s="84">
        <f>Sheet1!G67</f>
        <v>6.444589247925939</v>
      </c>
      <c r="E8" s="84">
        <f>Sheet1!M67</f>
        <v>5.9096634606557235</v>
      </c>
      <c r="F8" s="84">
        <f>Sheet1!T68</f>
        <v>6.2090991184694575</v>
      </c>
      <c r="G8" s="84">
        <f>Sheet1!Z65</f>
        <v>270.67500000000001</v>
      </c>
      <c r="H8" s="84">
        <f>Sheet1!AF65</f>
        <v>3.3066</v>
      </c>
      <c r="I8" s="63"/>
      <c r="K8" t="s">
        <v>190</v>
      </c>
      <c r="L8" s="29">
        <f>Sheet4!L8</f>
        <v>0.10714285714285714</v>
      </c>
      <c r="M8" s="29">
        <f t="shared" si="1"/>
        <v>0.25509991877156069</v>
      </c>
      <c r="N8" s="29">
        <f t="shared" si="2"/>
        <v>0.23392564068620997</v>
      </c>
      <c r="O8" s="29">
        <f t="shared" si="3"/>
        <v>0.24577837622093404</v>
      </c>
      <c r="P8" s="29">
        <f t="shared" si="4"/>
        <v>10.714285714285714</v>
      </c>
      <c r="Q8" s="29">
        <f t="shared" si="5"/>
        <v>0.13088706804417524</v>
      </c>
    </row>
    <row r="9" spans="3:17" ht="15.75" x14ac:dyDescent="0.25">
      <c r="C9" s="83" t="s">
        <v>191</v>
      </c>
      <c r="D9" s="3">
        <f>Sheet1!G61</f>
        <v>22</v>
      </c>
      <c r="E9" s="3">
        <f>Sheet1!M61</f>
        <v>8</v>
      </c>
      <c r="F9" s="3">
        <f>Sheet1!T61</f>
        <v>11</v>
      </c>
      <c r="G9" s="3">
        <f>Sheet1!Z59</f>
        <v>8</v>
      </c>
      <c r="H9" s="3">
        <f>Sheet1!AF59</f>
        <v>1</v>
      </c>
      <c r="K9" t="s">
        <v>191</v>
      </c>
      <c r="L9" s="29">
        <f>Sheet4!L9</f>
        <v>0.10714285714285714</v>
      </c>
      <c r="M9" s="29">
        <f>(100-D9/MAX($D9:$H9)*100)*$L9</f>
        <v>0</v>
      </c>
      <c r="N9" s="29">
        <f>(100-E9/MAX($D9:$H9)*100)*$L9</f>
        <v>6.8181818181818175</v>
      </c>
      <c r="O9" s="29">
        <f>(100-F9/MAX($D9:$H9)*100)*$L9</f>
        <v>5.3571428571428568</v>
      </c>
      <c r="P9" s="29">
        <f>(100-G9/MAX($D9:$H9)*100)*$L9</f>
        <v>6.8181818181818175</v>
      </c>
      <c r="Q9" s="29">
        <f>(100-H9/MAX($D9:$H9)*100)*$L9</f>
        <v>10.227272727272727</v>
      </c>
    </row>
    <row r="10" spans="3:17" x14ac:dyDescent="0.25">
      <c r="L10" s="2"/>
      <c r="M10" s="2"/>
      <c r="N10" s="2"/>
      <c r="O10" s="2"/>
      <c r="P10" s="2"/>
      <c r="Q10" s="2"/>
    </row>
    <row r="11" spans="3:17" x14ac:dyDescent="0.25">
      <c r="K11" t="s">
        <v>231</v>
      </c>
      <c r="L11" s="29">
        <f>SUM(L4:L9)</f>
        <v>0.92857142857142838</v>
      </c>
      <c r="M11" s="29">
        <f t="shared" ref="M11:Q11" ca="1" si="6">SUM(M4:M9)</f>
        <v>50.446192401617083</v>
      </c>
      <c r="N11" s="29">
        <f t="shared" si="6"/>
        <v>66.055372196562757</v>
      </c>
      <c r="O11" s="29">
        <f t="shared" si="6"/>
        <v>64.60510021395271</v>
      </c>
      <c r="P11" s="29">
        <f t="shared" si="6"/>
        <v>58.520430942702397</v>
      </c>
      <c r="Q11" s="29">
        <f t="shared" si="6"/>
        <v>28.168884374413484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AC1BD-3FD9-4B6D-B720-F7C8472D6D8A}">
  <dimension ref="C4:G12"/>
  <sheetViews>
    <sheetView topLeftCell="A8" workbookViewId="0">
      <selection activeCell="B29" sqref="B29"/>
    </sheetView>
  </sheetViews>
  <sheetFormatPr defaultRowHeight="15" x14ac:dyDescent="0.25"/>
  <cols>
    <col min="3" max="3" width="15.140625" customWidth="1"/>
    <col min="4" max="4" width="19.140625" customWidth="1"/>
    <col min="5" max="5" width="17.140625" customWidth="1"/>
    <col min="6" max="6" width="13.28515625" customWidth="1"/>
    <col min="7" max="7" width="17" customWidth="1"/>
  </cols>
  <sheetData>
    <row r="4" spans="3:7" x14ac:dyDescent="0.25">
      <c r="C4" s="105" t="s">
        <v>214</v>
      </c>
      <c r="D4" s="105"/>
      <c r="E4" s="105"/>
      <c r="F4" s="105"/>
    </row>
    <row r="5" spans="3:7" x14ac:dyDescent="0.25">
      <c r="C5" s="2" t="s">
        <v>48</v>
      </c>
      <c r="D5" s="2" t="s">
        <v>215</v>
      </c>
      <c r="E5" s="2" t="s">
        <v>216</v>
      </c>
      <c r="F5" s="2" t="s">
        <v>217</v>
      </c>
      <c r="G5" s="2" t="s">
        <v>24</v>
      </c>
    </row>
    <row r="6" spans="3:7" x14ac:dyDescent="0.25">
      <c r="C6" s="2" t="s">
        <v>39</v>
      </c>
      <c r="D6" s="17">
        <v>150000000</v>
      </c>
      <c r="E6" s="2">
        <v>63800</v>
      </c>
      <c r="F6" s="17">
        <f>D6/E6</f>
        <v>2351.0971786833857</v>
      </c>
      <c r="G6" t="s">
        <v>218</v>
      </c>
    </row>
    <row r="7" spans="3:7" x14ac:dyDescent="0.25">
      <c r="C7" s="2" t="s">
        <v>196</v>
      </c>
      <c r="D7" s="17">
        <v>73000000</v>
      </c>
      <c r="E7" s="2">
        <v>18831</v>
      </c>
      <c r="F7" s="17">
        <f t="shared" ref="F7:F12" si="0">D7/E7</f>
        <v>3876.5864797408531</v>
      </c>
      <c r="G7" t="s">
        <v>219</v>
      </c>
    </row>
    <row r="8" spans="3:7" x14ac:dyDescent="0.25">
      <c r="C8" s="2" t="s">
        <v>220</v>
      </c>
      <c r="D8" s="17">
        <v>115000000</v>
      </c>
      <c r="E8" s="2">
        <v>21650</v>
      </c>
      <c r="F8" s="17">
        <f t="shared" si="0"/>
        <v>5311.778290993072</v>
      </c>
      <c r="G8" t="s">
        <v>221</v>
      </c>
    </row>
    <row r="9" spans="3:7" x14ac:dyDescent="0.25">
      <c r="C9" s="2" t="s">
        <v>222</v>
      </c>
      <c r="D9" s="17">
        <v>67000000</v>
      </c>
      <c r="E9" s="2">
        <v>22800</v>
      </c>
      <c r="F9" s="17">
        <f t="shared" si="0"/>
        <v>2938.5964912280701</v>
      </c>
      <c r="G9" t="s">
        <v>218</v>
      </c>
    </row>
    <row r="10" spans="3:7" x14ac:dyDescent="0.25">
      <c r="C10" s="2" t="s">
        <v>223</v>
      </c>
      <c r="D10" s="17">
        <v>2000000000</v>
      </c>
      <c r="E10" s="2">
        <v>95000</v>
      </c>
      <c r="F10" s="17">
        <f t="shared" si="0"/>
        <v>21052.63157894737</v>
      </c>
      <c r="G10" t="s">
        <v>224</v>
      </c>
    </row>
    <row r="11" spans="3:7" x14ac:dyDescent="0.25">
      <c r="C11" s="2" t="s">
        <v>225</v>
      </c>
      <c r="D11" s="17">
        <v>37000000</v>
      </c>
      <c r="E11" s="2">
        <v>3300</v>
      </c>
      <c r="F11" s="17">
        <f t="shared" si="0"/>
        <v>11212.121212121212</v>
      </c>
      <c r="G11" t="s">
        <v>226</v>
      </c>
    </row>
    <row r="12" spans="3:7" x14ac:dyDescent="0.25">
      <c r="C12" s="2" t="s">
        <v>227</v>
      </c>
      <c r="D12" s="17">
        <v>5300000</v>
      </c>
      <c r="E12" s="2">
        <v>220</v>
      </c>
      <c r="F12" s="17">
        <f t="shared" si="0"/>
        <v>24090.909090909092</v>
      </c>
    </row>
  </sheetData>
  <mergeCells count="1">
    <mergeCell ref="C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C70A-C621-46A1-A7B6-C8036DB5BBD9}">
  <dimension ref="F4:M29"/>
  <sheetViews>
    <sheetView tabSelected="1" topLeftCell="A12" workbookViewId="0">
      <selection activeCell="I27" sqref="I27"/>
    </sheetView>
  </sheetViews>
  <sheetFormatPr defaultRowHeight="15" x14ac:dyDescent="0.25"/>
  <cols>
    <col min="6" max="6" width="17.5703125" customWidth="1"/>
    <col min="7" max="7" width="20.7109375" customWidth="1"/>
    <col min="8" max="8" width="30.28515625" bestFit="1" customWidth="1"/>
    <col min="9" max="9" width="16.5703125" customWidth="1"/>
    <col min="13" max="13" width="15.7109375" bestFit="1" customWidth="1"/>
  </cols>
  <sheetData>
    <row r="4" spans="6:13" ht="15.75" thickBot="1" x14ac:dyDescent="0.3"/>
    <row r="5" spans="6:13" x14ac:dyDescent="0.25">
      <c r="F5" s="27" t="s">
        <v>3</v>
      </c>
      <c r="G5" s="27" t="s">
        <v>9</v>
      </c>
      <c r="H5" s="27"/>
      <c r="I5" s="87">
        <v>36543.213296398892</v>
      </c>
    </row>
    <row r="6" spans="6:13" x14ac:dyDescent="0.25">
      <c r="G6" t="s">
        <v>8</v>
      </c>
      <c r="H6" t="s">
        <v>35</v>
      </c>
      <c r="I6" s="18">
        <v>16756.024254389882</v>
      </c>
    </row>
    <row r="7" spans="6:13" x14ac:dyDescent="0.25">
      <c r="G7" t="s">
        <v>1</v>
      </c>
      <c r="H7" t="s">
        <v>26</v>
      </c>
      <c r="I7" s="18">
        <v>450</v>
      </c>
    </row>
    <row r="8" spans="6:13" x14ac:dyDescent="0.25">
      <c r="G8" t="s">
        <v>10</v>
      </c>
      <c r="H8" t="s">
        <v>36</v>
      </c>
      <c r="I8" s="18">
        <v>5000</v>
      </c>
    </row>
    <row r="9" spans="6:13" x14ac:dyDescent="0.25">
      <c r="G9" t="s">
        <v>11</v>
      </c>
      <c r="H9" t="s">
        <v>37</v>
      </c>
      <c r="I9" s="18">
        <v>103860.04567213666</v>
      </c>
    </row>
    <row r="10" spans="6:13" x14ac:dyDescent="0.25">
      <c r="G10" t="s">
        <v>53</v>
      </c>
      <c r="I10" s="4">
        <v>666240469384.85974</v>
      </c>
    </row>
    <row r="11" spans="6:13" ht="15.75" thickBot="1" x14ac:dyDescent="0.3">
      <c r="F11" s="28"/>
      <c r="G11" s="28" t="s">
        <v>12</v>
      </c>
      <c r="H11" s="28"/>
      <c r="I11" s="95">
        <v>157159.28322292544</v>
      </c>
    </row>
    <row r="12" spans="6:13" x14ac:dyDescent="0.25">
      <c r="G12" t="s">
        <v>252</v>
      </c>
      <c r="I12">
        <v>8</v>
      </c>
    </row>
    <row r="13" spans="6:13" x14ac:dyDescent="0.25">
      <c r="G13" t="s">
        <v>254</v>
      </c>
      <c r="I13">
        <v>1150</v>
      </c>
      <c r="M13" s="96"/>
    </row>
    <row r="14" spans="6:13" x14ac:dyDescent="0.25">
      <c r="G14" t="s">
        <v>253</v>
      </c>
      <c r="I14">
        <v>70</v>
      </c>
    </row>
    <row r="15" spans="6:13" x14ac:dyDescent="0.25">
      <c r="G15" t="s">
        <v>237</v>
      </c>
      <c r="H15" t="s">
        <v>260</v>
      </c>
      <c r="I15" s="63">
        <f>((I12+1)*I13)/(I12+(I13/I14))/1150</f>
        <v>0.36842105263157898</v>
      </c>
    </row>
    <row r="16" spans="6:13" x14ac:dyDescent="0.25">
      <c r="G16" t="s">
        <v>238</v>
      </c>
      <c r="H16" t="s">
        <v>239</v>
      </c>
      <c r="I16">
        <v>2</v>
      </c>
    </row>
    <row r="17" spans="6:11" x14ac:dyDescent="0.25">
      <c r="G17" t="s">
        <v>240</v>
      </c>
      <c r="H17" t="s">
        <v>241</v>
      </c>
      <c r="I17">
        <v>0</v>
      </c>
    </row>
    <row r="18" spans="6:11" x14ac:dyDescent="0.25">
      <c r="G18" t="s">
        <v>242</v>
      </c>
      <c r="H18" t="s">
        <v>243</v>
      </c>
      <c r="I18">
        <v>4</v>
      </c>
    </row>
    <row r="19" spans="6:11" x14ac:dyDescent="0.25">
      <c r="G19" t="s">
        <v>244</v>
      </c>
      <c r="H19" t="s">
        <v>245</v>
      </c>
      <c r="I19">
        <v>14</v>
      </c>
    </row>
    <row r="20" spans="6:11" x14ac:dyDescent="0.25">
      <c r="G20" t="s">
        <v>256</v>
      </c>
      <c r="H20" t="s">
        <v>255</v>
      </c>
      <c r="I20" s="18">
        <f>I11*1.78*9.81/6</f>
        <v>457380.66196368</v>
      </c>
    </row>
    <row r="21" spans="6:11" ht="15.75" thickBot="1" x14ac:dyDescent="0.3">
      <c r="G21" t="s">
        <v>246</v>
      </c>
      <c r="H21" t="s">
        <v>247</v>
      </c>
      <c r="I21">
        <v>0.123</v>
      </c>
      <c r="K21" s="18">
        <f>0.068*I6^1.7851</f>
        <v>2360894.2241932303</v>
      </c>
    </row>
    <row r="22" spans="6:11" x14ac:dyDescent="0.25">
      <c r="F22" s="27" t="s">
        <v>250</v>
      </c>
      <c r="G22" s="97"/>
      <c r="H22" s="97" t="s">
        <v>262</v>
      </c>
      <c r="I22" s="98">
        <f>0.0684*(((I6^1.7851)*(I15^-0.0645))+I5^0.9062)*I16^0.6921+0.4528</f>
        <v>4093524.173559926</v>
      </c>
    </row>
    <row r="23" spans="6:11" x14ac:dyDescent="0.25">
      <c r="H23" t="s">
        <v>261</v>
      </c>
      <c r="I23" s="63">
        <f>0.45*I6</f>
        <v>7540.2109144754468</v>
      </c>
    </row>
    <row r="24" spans="6:11" x14ac:dyDescent="0.25">
      <c r="F24" t="s">
        <v>248</v>
      </c>
      <c r="G24" t="s">
        <v>257</v>
      </c>
      <c r="I24" s="94">
        <f>0.0135*1^0.4118*I20^0.471*I9^0.3574</f>
        <v>388.33211569383519</v>
      </c>
    </row>
    <row r="25" spans="6:11" x14ac:dyDescent="0.25">
      <c r="G25" t="s">
        <v>258</v>
      </c>
      <c r="I25" s="94">
        <f>0.4078*((I9*I15)^0.75)*(2^-1.0836)*(1^-0.1739)</f>
        <v>526.43630156825884</v>
      </c>
    </row>
    <row r="26" spans="6:11" x14ac:dyDescent="0.25">
      <c r="G26" t="s">
        <v>259</v>
      </c>
      <c r="I26" s="94">
        <f>0.00001139*6^3.088*I6^0.806</f>
        <v>7.3136907938586084</v>
      </c>
    </row>
    <row r="27" spans="6:11" x14ac:dyDescent="0.25">
      <c r="F27" t="s">
        <v>249</v>
      </c>
      <c r="G27" t="s">
        <v>263</v>
      </c>
      <c r="H27" s="63">
        <f>1850/1012</f>
        <v>1.8280632411067195</v>
      </c>
      <c r="I27" s="18">
        <f>(I6-0.45*I6)*H27</f>
        <v>16847.089603598524</v>
      </c>
    </row>
    <row r="29" spans="6:11" x14ac:dyDescent="0.25">
      <c r="F29" t="s">
        <v>251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Lander ss sizing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2023-01-28T05:45:55Z</dcterms:created>
  <dcterms:modified xsi:type="dcterms:W3CDTF">2023-03-31T14:08:02Z</dcterms:modified>
</cp:coreProperties>
</file>