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"/>
    </mc:Choice>
  </mc:AlternateContent>
  <xr:revisionPtr revIDLastSave="0" documentId="8_{95CB0EFC-7341-4A9B-988B-76CA1E55B92C}" xr6:coauthVersionLast="47" xr6:coauthVersionMax="47" xr10:uidLastSave="{00000000-0000-0000-0000-000000000000}"/>
  <bookViews>
    <workbookView xWindow="-120" yWindow="-120" windowWidth="20730" windowHeight="11160" firstSheet="1" activeTab="1" xr2:uid="{B3BF74C1-D929-4CA0-B8BF-5D4C53CAF4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1" l="1" a="1"/>
  <c r="G66" i="1" s="1"/>
  <c r="H9" i="5"/>
  <c r="H8" i="5"/>
  <c r="H7" i="5"/>
  <c r="H6" i="5"/>
  <c r="H5" i="5"/>
  <c r="H4" i="5"/>
  <c r="G9" i="5"/>
  <c r="G8" i="5"/>
  <c r="G7" i="5"/>
  <c r="G6" i="5"/>
  <c r="G5" i="5"/>
  <c r="G4" i="5"/>
  <c r="F9" i="5"/>
  <c r="F8" i="5"/>
  <c r="F7" i="5"/>
  <c r="F6" i="5"/>
  <c r="F5" i="5"/>
  <c r="F4" i="5"/>
  <c r="E9" i="5"/>
  <c r="E8" i="5"/>
  <c r="E7" i="5"/>
  <c r="E6" i="5"/>
  <c r="D7" i="5"/>
  <c r="D6" i="5"/>
  <c r="E5" i="5"/>
  <c r="E4" i="5"/>
  <c r="D5" i="5"/>
  <c r="D9" i="5"/>
  <c r="AF49" i="1"/>
  <c r="Z49" i="1"/>
  <c r="T49" i="1"/>
  <c r="M49" i="1"/>
  <c r="G49" i="1"/>
  <c r="D8" i="5"/>
  <c r="D4" i="5"/>
  <c r="K4" i="4"/>
  <c r="K5" i="4"/>
  <c r="K6" i="4"/>
  <c r="K7" i="4"/>
  <c r="K8" i="4"/>
  <c r="K9" i="4"/>
  <c r="J5" i="4"/>
  <c r="J6" i="4"/>
  <c r="J7" i="4"/>
  <c r="J8" i="4"/>
  <c r="J9" i="4"/>
  <c r="J4" i="4"/>
  <c r="AF55" i="1"/>
  <c r="AF54" i="1"/>
  <c r="Z58" i="1"/>
  <c r="Z55" i="1"/>
  <c r="Z57" i="1"/>
  <c r="Z56" i="1"/>
  <c r="Z52" i="1"/>
  <c r="T58" i="1"/>
  <c r="T57" i="1"/>
  <c r="T55" i="1"/>
  <c r="T53" i="1"/>
  <c r="M56" i="1"/>
  <c r="G56" i="1"/>
  <c r="G51" i="1"/>
  <c r="G50" i="1" l="1"/>
  <c r="AF60" i="1"/>
  <c r="AF48" i="1"/>
  <c r="Z48" i="1"/>
  <c r="T48" i="1"/>
  <c r="M48" i="1"/>
  <c r="G48" i="1"/>
  <c r="J31" i="3"/>
  <c r="J30" i="3"/>
  <c r="G30" i="3"/>
  <c r="F30" i="3"/>
  <c r="E30" i="3"/>
  <c r="AF9" i="1"/>
  <c r="H30" i="3" s="1"/>
  <c r="AF6" i="1"/>
  <c r="D30" i="3" s="1"/>
  <c r="AF10" i="1"/>
  <c r="AF11" i="1" s="1"/>
  <c r="J26" i="3"/>
  <c r="J25" i="3"/>
  <c r="H25" i="3"/>
  <c r="E25" i="3"/>
  <c r="AF64" i="1" l="1"/>
  <c r="AF12" i="1"/>
  <c r="F31" i="3" s="1"/>
  <c r="E31" i="3"/>
  <c r="D31" i="3"/>
  <c r="AF15" i="1" l="1"/>
  <c r="AF36" i="1" s="1"/>
  <c r="AF16" i="1"/>
  <c r="H31" i="3" s="1"/>
  <c r="AF39" i="1"/>
  <c r="AF65" i="1" s="1"/>
  <c r="AF37" i="1"/>
  <c r="AF40" i="1"/>
  <c r="G31" i="3"/>
  <c r="Z7" i="1"/>
  <c r="Z11" i="1" s="1"/>
  <c r="J21" i="3"/>
  <c r="J20" i="3"/>
  <c r="J19" i="3"/>
  <c r="H19" i="3"/>
  <c r="E19" i="3"/>
  <c r="T8" i="1"/>
  <c r="T13" i="1" s="1"/>
  <c r="T52" i="1" s="1"/>
  <c r="J15" i="3"/>
  <c r="E14" i="3"/>
  <c r="J14" i="3"/>
  <c r="H14" i="3"/>
  <c r="AF41" i="1" l="1"/>
  <c r="AF66" i="1"/>
  <c r="G19" i="3"/>
  <c r="T38" i="1"/>
  <c r="T65" i="1" s="1"/>
  <c r="G25" i="3"/>
  <c r="Z9" i="1"/>
  <c r="T11" i="1"/>
  <c r="T69" i="1" l="1"/>
  <c r="F25" i="3"/>
  <c r="Z13" i="1"/>
  <c r="Z12" i="1"/>
  <c r="D25" i="3" s="1"/>
  <c r="T17" i="1"/>
  <c r="T20" i="1" s="1"/>
  <c r="T21" i="1" s="1"/>
  <c r="F19" i="3"/>
  <c r="T14" i="1"/>
  <c r="D19" i="3" s="1"/>
  <c r="Z41" i="1" l="1"/>
  <c r="Z39" i="1"/>
  <c r="Z38" i="1"/>
  <c r="Z63" i="1" s="1"/>
  <c r="F26" i="3"/>
  <c r="Z14" i="1"/>
  <c r="T25" i="1"/>
  <c r="F20" i="3"/>
  <c r="T23" i="1"/>
  <c r="T22" i="1"/>
  <c r="Z67" i="1" l="1"/>
  <c r="Z68" i="1"/>
  <c r="Z40" i="1"/>
  <c r="Z69" i="1" s="1"/>
  <c r="T40" i="1"/>
  <c r="T39" i="1"/>
  <c r="T70" i="1" s="1"/>
  <c r="E26" i="3"/>
  <c r="Z37" i="1"/>
  <c r="T16" i="1"/>
  <c r="H20" i="3" s="1"/>
  <c r="Z17" i="1"/>
  <c r="Z19" i="1"/>
  <c r="H26" i="3" s="1"/>
  <c r="F21" i="3"/>
  <c r="T26" i="1"/>
  <c r="E21" i="3" s="1"/>
  <c r="T24" i="1"/>
  <c r="D20" i="3" s="1"/>
  <c r="E20" i="3"/>
  <c r="G20" i="3"/>
  <c r="O14" i="1"/>
  <c r="O16" i="1" s="1"/>
  <c r="O20" i="1" s="1"/>
  <c r="O21" i="1" s="1"/>
  <c r="O24" i="1" s="1"/>
  <c r="O25" i="1" s="1"/>
  <c r="G6" i="1"/>
  <c r="M10" i="1"/>
  <c r="M12" i="1" s="1"/>
  <c r="I8" i="2"/>
  <c r="I7" i="2"/>
  <c r="I6" i="2"/>
  <c r="I5" i="2"/>
  <c r="T41" i="1" l="1"/>
  <c r="T71" i="1"/>
  <c r="T37" i="1"/>
  <c r="F9" i="3"/>
  <c r="G39" i="1"/>
  <c r="G40" i="1"/>
  <c r="T29" i="1"/>
  <c r="T30" i="1"/>
  <c r="H21" i="3" s="1"/>
  <c r="Z18" i="1"/>
  <c r="D26" i="3" s="1"/>
  <c r="G26" i="3"/>
  <c r="Z36" i="1"/>
  <c r="M16" i="1"/>
  <c r="F14" i="3"/>
  <c r="O18" i="1"/>
  <c r="O19" i="1" s="1"/>
  <c r="G5" i="1"/>
  <c r="G37" i="1" s="1"/>
  <c r="M14" i="1"/>
  <c r="M52" i="1" s="1"/>
  <c r="M55" i="1" s="1"/>
  <c r="M58" i="1" s="1"/>
  <c r="G21" i="3" l="1"/>
  <c r="T54" i="1"/>
  <c r="T56" i="1" s="1"/>
  <c r="T60" i="1" s="1"/>
  <c r="T31" i="1"/>
  <c r="D21" i="3" s="1"/>
  <c r="T36" i="1"/>
  <c r="M39" i="1"/>
  <c r="M38" i="1"/>
  <c r="M63" i="1" s="1"/>
  <c r="M40" i="1"/>
  <c r="G9" i="1"/>
  <c r="G9" i="3" s="1"/>
  <c r="H9" i="3"/>
  <c r="E9" i="3"/>
  <c r="M15" i="1"/>
  <c r="D14" i="3" s="1"/>
  <c r="G14" i="3"/>
  <c r="M17" i="1"/>
  <c r="M5" i="1"/>
  <c r="E15" i="3"/>
  <c r="G14" i="1" l="1"/>
  <c r="D9" i="3" s="1"/>
  <c r="M68" i="1"/>
  <c r="M67" i="1"/>
  <c r="M69" i="1"/>
  <c r="M20" i="1"/>
  <c r="M37" i="1"/>
  <c r="M41" i="1"/>
  <c r="G10" i="1"/>
  <c r="G11" i="1" s="1"/>
  <c r="G12" i="1" s="1"/>
  <c r="G13" i="1" s="1"/>
  <c r="G36" i="1"/>
  <c r="F15" i="3"/>
  <c r="M6" i="1"/>
  <c r="M21" i="1"/>
  <c r="H15" i="3" s="1"/>
  <c r="G38" i="1" l="1"/>
  <c r="G41" i="1" s="1"/>
  <c r="G52" i="1"/>
  <c r="M36" i="1"/>
  <c r="N24" i="1"/>
  <c r="G15" i="3"/>
  <c r="M22" i="1"/>
  <c r="D15" i="3" s="1"/>
  <c r="G55" i="1" l="1"/>
  <c r="G57" i="1" s="1"/>
  <c r="G62" i="1"/>
  <c r="G68" i="1" l="1"/>
  <c r="G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50" authorId="0" shapeId="0" xr:uid="{7964A894-656C-4DE2-9193-758DBDBC7F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 docked in 3 hrs
</t>
        </r>
      </text>
    </comment>
    <comment ref="L50" authorId="0" shapeId="0" xr:uid="{621C8FA9-5FC9-4225-AB70-0FA1C35EA76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S50" authorId="0" shapeId="0" xr:uid="{4AB48D5D-DB46-40CF-95EA-1D7F3C0381E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Y50" authorId="0" shapeId="0" xr:uid="{0FFB5F66-2186-42D0-B5E0-29F4B61C12B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AE50" authorId="0" shapeId="0" xr:uid="{B103B3F7-DE84-48D0-8AB2-9A6EAD21AA0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M53" authorId="0" shapeId="0" xr:uid="{E26F5107-DC12-4A0C-BA5B-1D5B93E886D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https://ntrs.nasa.gov/api/citations/20150019648/downloads/20150019648.pdf
</t>
        </r>
      </text>
    </comment>
    <comment ref="M54" authorId="0" shapeId="0" xr:uid="{866DF405-32DD-43F7-935C-000D84CAE0F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https://ntrs.nasa.gov/api/citations/20150019648/downloads/20150019648.pdf</t>
        </r>
      </text>
    </comment>
    <comment ref="T55" authorId="0" shapeId="0" xr:uid="{62738FD6-303C-4DF5-8A93-45A6763DDB6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Apollo took this long from seperation to landing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<sst xmlns="http://schemas.openxmlformats.org/spreadsheetml/2006/main" count="563" uniqueCount="218">
  <si>
    <t>TV design ref</t>
  </si>
  <si>
    <t>launcher</t>
  </si>
  <si>
    <t>Isp [s]</t>
  </si>
  <si>
    <t>TV</t>
  </si>
  <si>
    <t>Lander</t>
  </si>
  <si>
    <t>TV Isp</t>
  </si>
  <si>
    <t>Transfer dV req. [m/s]</t>
  </si>
  <si>
    <t>TV Ec [J]</t>
  </si>
  <si>
    <t>TV payload [kg]</t>
  </si>
  <si>
    <t>mdry [kg]</t>
  </si>
  <si>
    <t>mp [kg]</t>
  </si>
  <si>
    <t>dv [m/s]</t>
  </si>
  <si>
    <t>mprop [kg]</t>
  </si>
  <si>
    <t>mtotal [kg]</t>
  </si>
  <si>
    <t>Falcon 2s</t>
  </si>
  <si>
    <t>TV inert mass</t>
  </si>
  <si>
    <t>TV dry mass</t>
  </si>
  <si>
    <t>Characteristic energy of Upper Stages</t>
  </si>
  <si>
    <t>Stage name</t>
  </si>
  <si>
    <t>Dry mass</t>
  </si>
  <si>
    <t>prop mass</t>
  </si>
  <si>
    <t>Prop</t>
  </si>
  <si>
    <t>example payload kg</t>
  </si>
  <si>
    <t>corresponding dV [m/s]</t>
  </si>
  <si>
    <t>Characteristic Energy</t>
  </si>
  <si>
    <t>sources</t>
  </si>
  <si>
    <t>DCSS 5m</t>
  </si>
  <si>
    <t>LOX/LH2</t>
  </si>
  <si>
    <t>Delta IV payload planners guide</t>
  </si>
  <si>
    <t>Centaur</t>
  </si>
  <si>
    <t>AtlasV user guide</t>
  </si>
  <si>
    <t>LOX/RP1</t>
  </si>
  <si>
    <t>Starlink launch on 11/11/2019 Telemetry And Spaceflight Insider</t>
  </si>
  <si>
    <t>Ariane 5 2S</t>
  </si>
  <si>
    <t>VA237 Telemetry and Ariane 5 User Manual</t>
  </si>
  <si>
    <t>TV prop req</t>
  </si>
  <si>
    <t>mp = 2.1809 * mdry</t>
  </si>
  <si>
    <t>LOPG-Surface-LOPG</t>
  </si>
  <si>
    <t>assume up=down</t>
  </si>
  <si>
    <t>notes</t>
  </si>
  <si>
    <t>Falcon Heavy</t>
  </si>
  <si>
    <t>launcher max payload [t]</t>
  </si>
  <si>
    <t>contructor payload req</t>
  </si>
  <si>
    <t>Total TV mass</t>
  </si>
  <si>
    <t>dV to LEO + TLI to LOPG</t>
  </si>
  <si>
    <t>MA1</t>
  </si>
  <si>
    <t>launcher payload to LEO</t>
  </si>
  <si>
    <t>TLV</t>
  </si>
  <si>
    <t>Falcon heavy</t>
  </si>
  <si>
    <t>LEO-LOPG-Surface-LOPG-LEO
dV is from the landing case</t>
  </si>
  <si>
    <t>dV req [m/s]</t>
  </si>
  <si>
    <t>Tsiolkovsky</t>
  </si>
  <si>
    <t>Building Block</t>
  </si>
  <si>
    <t>Launcher</t>
  </si>
  <si>
    <t>Ec [J]</t>
  </si>
  <si>
    <t>MA2</t>
  </si>
  <si>
    <t>without LEO refuelling</t>
  </si>
  <si>
    <t>LOX/CH4</t>
  </si>
  <si>
    <t>Ec[J]</t>
  </si>
  <si>
    <t>TV2</t>
  </si>
  <si>
    <t>falcon 2s (scaled)</t>
  </si>
  <si>
    <t>LOPG-LLO-LOPG</t>
  </si>
  <si>
    <t>TV engine mass</t>
  </si>
  <si>
    <t>mdry= (mdry_ref - mengine_ref)/(mprop_ref/mprop_req) + mengine_ref</t>
  </si>
  <si>
    <t>TV2 design ref</t>
  </si>
  <si>
    <t>TV2 payload [kg]</t>
  </si>
  <si>
    <t>TV2 dry mass 1</t>
  </si>
  <si>
    <t>TV2 dry mass 2</t>
  </si>
  <si>
    <t>TV2 dry mass 3</t>
  </si>
  <si>
    <t>TV2 total mass</t>
  </si>
  <si>
    <t>TV2 Isp</t>
  </si>
  <si>
    <t>TV1 Isp</t>
  </si>
  <si>
    <t>MA3</t>
  </si>
  <si>
    <t>TV2 prop req</t>
  </si>
  <si>
    <t>MA4</t>
  </si>
  <si>
    <t>regular launcher payload req</t>
  </si>
  <si>
    <t>LLO-surface-LLO</t>
  </si>
  <si>
    <t>cycle prop cost</t>
  </si>
  <si>
    <t>TV1</t>
  </si>
  <si>
    <t>mdry 2 [kg]</t>
  </si>
  <si>
    <t>mprop 2 [kg]</t>
  </si>
  <si>
    <t>mdry 3 [kg]</t>
  </si>
  <si>
    <t>mprop 3 [kg]</t>
  </si>
  <si>
    <t>stats</t>
  </si>
  <si>
    <t>stats mprop = 3.231*mdry</t>
  </si>
  <si>
    <t>TV2 Ec [J]</t>
  </si>
  <si>
    <t>property</t>
  </si>
  <si>
    <t>value</t>
  </si>
  <si>
    <t>building block</t>
  </si>
  <si>
    <t>ETV</t>
  </si>
  <si>
    <t>design ref</t>
  </si>
  <si>
    <t>gateway PPE</t>
  </si>
  <si>
    <t>dV req.</t>
  </si>
  <si>
    <t>mp</t>
  </si>
  <si>
    <t>m_inert[kg]</t>
  </si>
  <si>
    <t>m_dry</t>
  </si>
  <si>
    <t>m_p</t>
  </si>
  <si>
    <t>m_prop</t>
  </si>
  <si>
    <t>m_total</t>
  </si>
  <si>
    <t>Isp</t>
  </si>
  <si>
    <t>mdry</t>
  </si>
  <si>
    <t>mp = 2.1809*mdry</t>
  </si>
  <si>
    <t>mdr</t>
  </si>
  <si>
    <t>mprop</t>
  </si>
  <si>
    <t>mtotal</t>
  </si>
  <si>
    <t>Xenon</t>
  </si>
  <si>
    <t>MA5</t>
  </si>
  <si>
    <t>TLI payload</t>
  </si>
  <si>
    <t>mdry = 0.1484*mtotal</t>
  </si>
  <si>
    <t>Falcon 2S</t>
  </si>
  <si>
    <t xml:space="preserve">mp </t>
  </si>
  <si>
    <t>mp = 2.0251*mdry</t>
  </si>
  <si>
    <t>dV req</t>
  </si>
  <si>
    <t>1.11*Tsiolkovsky</t>
  </si>
  <si>
    <t>cycle prop mass</t>
  </si>
  <si>
    <t xml:space="preserve">Falcon Heavy </t>
  </si>
  <si>
    <t>Construction Launcher</t>
  </si>
  <si>
    <t>Regular Launcher</t>
  </si>
  <si>
    <t>LEO payload</t>
  </si>
  <si>
    <t>Construction Launches</t>
  </si>
  <si>
    <t>Launches Per cycle</t>
  </si>
  <si>
    <t xml:space="preserve">LEO payload </t>
  </si>
  <si>
    <t>paylod per launch</t>
  </si>
  <si>
    <t>payload per launch</t>
  </si>
  <si>
    <t>#RDVs</t>
  </si>
  <si>
    <t>10 fuelings + 1 payload delivery</t>
  </si>
  <si>
    <t>Launcher-TV x2
TV-LOPG
Lander-LOPG</t>
  </si>
  <si>
    <t>Launcher-TV x2
TV1-LOPG
TV2-Lander
Lander-TV2
TV2-LOPG</t>
  </si>
  <si>
    <t>returned_payload_mass</t>
  </si>
  <si>
    <t>landed_payload_mass</t>
  </si>
  <si>
    <t>refuels per cycle</t>
  </si>
  <si>
    <t>TV in LEO
TV at LOPG
Lander at LOPG</t>
  </si>
  <si>
    <t>TV1 in LEO
TV1 at LOPG
TV2 at LOPG
Lander in LLO</t>
  </si>
  <si>
    <t>Launcher - ETV
ETV-LOPG
Lander - LOPG</t>
  </si>
  <si>
    <t>ETV in LEO
ETV at LOPG
Lander at LOPG</t>
  </si>
  <si>
    <t>Cryo_fuel?</t>
  </si>
  <si>
    <t>rad_hardening</t>
  </si>
  <si>
    <t>architecture_complexity</t>
  </si>
  <si>
    <t>payload mass bottleneck</t>
  </si>
  <si>
    <t>FOM</t>
  </si>
  <si>
    <t>Technological complexity</t>
  </si>
  <si>
    <t>COMPLEXITY</t>
  </si>
  <si>
    <t>subsystem_compexity</t>
  </si>
  <si>
    <t>MA1 - Sizing</t>
  </si>
  <si>
    <t>MA 2 - Sizing</t>
  </si>
  <si>
    <t>MA3 - Sizing</t>
  </si>
  <si>
    <t>MA4 - Sizing</t>
  </si>
  <si>
    <t>MA 5 - Sizing</t>
  </si>
  <si>
    <t>MA3 - FOMs</t>
  </si>
  <si>
    <t>MA1 - FOMs</t>
  </si>
  <si>
    <t>MA4 - FOMs</t>
  </si>
  <si>
    <t>MA5 - FOMs</t>
  </si>
  <si>
    <t>Figure</t>
  </si>
  <si>
    <t>payload</t>
  </si>
  <si>
    <t>04_complexity</t>
  </si>
  <si>
    <t>05_Delivery Time</t>
  </si>
  <si>
    <t>06_Flexibility</t>
  </si>
  <si>
    <t>07_cost</t>
  </si>
  <si>
    <t>constructor launch costs</t>
  </si>
  <si>
    <t>regular launch costs</t>
  </si>
  <si>
    <t>launch cost per cycle</t>
  </si>
  <si>
    <t>Lander Dev cost</t>
  </si>
  <si>
    <t>other</t>
  </si>
  <si>
    <t>TV acq cost</t>
  </si>
  <si>
    <t>total cost per cycle</t>
  </si>
  <si>
    <t>$/kg_landed</t>
  </si>
  <si>
    <t>$/kg_lifted</t>
  </si>
  <si>
    <t>assuming at least ten cycles before maintenance</t>
  </si>
  <si>
    <t>construction cost</t>
  </si>
  <si>
    <t>TV1 acq cost</t>
  </si>
  <si>
    <t>TV2 acq cost</t>
  </si>
  <si>
    <t>TLI</t>
  </si>
  <si>
    <t>LEO - 11 RDVs</t>
  </si>
  <si>
    <t>refuelling time [days]</t>
  </si>
  <si>
    <t>RDV time [days]</t>
  </si>
  <si>
    <t>Orbit 1 [days]</t>
  </si>
  <si>
    <t>Orbit 2 [days]</t>
  </si>
  <si>
    <t>Orbit 3 [days]</t>
  </si>
  <si>
    <t xml:space="preserve">ISS speed record benchmark </t>
  </si>
  <si>
    <t>Total [days]</t>
  </si>
  <si>
    <t>MA2 - FOMs</t>
  </si>
  <si>
    <t>refuelling rate [kg/s]</t>
  </si>
  <si>
    <t>Burn Time of falcon 2S. 187 seconds for 92670kg of fuel: 495kg/s.  
Choose a  rate 5 times slower</t>
  </si>
  <si>
    <t>LEO RDV time [days]</t>
  </si>
  <si>
    <t>LEO - w/ RDVs</t>
  </si>
  <si>
    <t>LOPG to landing</t>
  </si>
  <si>
    <t>Orbit 4 [days]</t>
  </si>
  <si>
    <t>Landing</t>
  </si>
  <si>
    <t>TLI return</t>
  </si>
  <si>
    <t>Delivery Time</t>
  </si>
  <si>
    <t>Orbit 5 [days]</t>
  </si>
  <si>
    <t>to LOPG + RDV</t>
  </si>
  <si>
    <t>TLI Return</t>
  </si>
  <si>
    <t>LLO to Landing</t>
  </si>
  <si>
    <t>LLO to LOPG + RDV</t>
  </si>
  <si>
    <t>TLI to LOPG+RDV</t>
  </si>
  <si>
    <t>LOPG to LLO + RDV + fuelling</t>
  </si>
  <si>
    <t>Orbit 6 [days]</t>
  </si>
  <si>
    <t>to LLO + RDV</t>
  </si>
  <si>
    <t>LOPG to Landing</t>
  </si>
  <si>
    <t>LEO</t>
  </si>
  <si>
    <t>LLO - landing</t>
  </si>
  <si>
    <t>TLI - Free Return</t>
  </si>
  <si>
    <t>FOMs weightinh</t>
  </si>
  <si>
    <t>Cost</t>
  </si>
  <si>
    <t>Landed_Payload</t>
  </si>
  <si>
    <t>Returned_payload</t>
  </si>
  <si>
    <t>Delivery_Time</t>
  </si>
  <si>
    <t>System_complexity</t>
  </si>
  <si>
    <t>Flexibility</t>
  </si>
  <si>
    <t>normalised</t>
  </si>
  <si>
    <t>Total+1</t>
  </si>
  <si>
    <t>Cost [$/kg_landed]</t>
  </si>
  <si>
    <t>Landed_Payload [kg/launch]</t>
  </si>
  <si>
    <t>Returned_payload [kg/launch]</t>
  </si>
  <si>
    <t>Delivery_Time [days]</t>
  </si>
  <si>
    <t>System_complexity [#rdvs]</t>
  </si>
  <si>
    <t>Cost [$/kg_returned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</si>
</sst>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/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2" fillId="4" borderId="0" xfId="0" applyFont="1" applyFill="1"/>
    <xf numFmtId="3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164" fontId="0" fillId="0" borderId="7" xfId="0" applyNumberFormat="1" applyBorder="1"/>
    <xf numFmtId="164" fontId="0" fillId="0" borderId="0" xfId="0" applyNumberFormat="1"/>
    <xf numFmtId="0" fontId="0" fillId="0" borderId="15" xfId="0" applyBorder="1" applyAlignment="1">
      <alignment horizontal="right"/>
    </xf>
    <xf numFmtId="0" fontId="0" fillId="0" borderId="15" xfId="0" applyBorder="1"/>
    <xf numFmtId="164" fontId="0" fillId="0" borderId="15" xfId="0" applyNumberFormat="1" applyBorder="1"/>
    <xf numFmtId="2" fontId="0" fillId="5" borderId="8" xfId="0" applyNumberFormat="1" applyFill="1" applyBorder="1"/>
    <xf numFmtId="2" fontId="0" fillId="0" borderId="0" xfId="0" applyNumberFormat="1"/>
    <xf numFmtId="0" fontId="0" fillId="0" borderId="16" xfId="0" applyBorder="1"/>
    <xf numFmtId="164" fontId="0" fillId="5" borderId="0" xfId="0" applyNumberFormat="1" applyFill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004-969A-48C7-A58A-4DFE112F2B59}">
  <dimension ref="A1:AF71"/>
  <sheetViews>
    <sheetView topLeftCell="C51" zoomScaleNormal="100" workbookViewId="0">
      <selection activeCell="H66" sqref="H66"/>
    </sheetView>
  </sheetViews>
  <sheetFormatPr defaultRowHeight="15" x14ac:dyDescent="0.25"/>
  <cols>
    <col min="1" max="1" width="25" bestFit="1" customWidth="1"/>
    <col min="3" max="3" width="6.7109375" customWidth="1"/>
    <col min="4" max="4" width="23.85546875" customWidth="1"/>
    <col min="5" max="5" width="26.140625" customWidth="1"/>
    <col min="6" max="6" width="27" bestFit="1" customWidth="1"/>
    <col min="7" max="7" width="12.42578125" bestFit="1" customWidth="1"/>
    <col min="10" max="10" width="21.140625" customWidth="1"/>
    <col min="11" max="11" width="28.7109375" bestFit="1" customWidth="1"/>
    <col min="12" max="12" width="33.28515625" customWidth="1"/>
    <col min="13" max="13" width="12.5703125" bestFit="1" customWidth="1"/>
    <col min="14" max="14" width="16" customWidth="1"/>
    <col min="15" max="15" width="4.5703125" hidden="1" customWidth="1"/>
    <col min="16" max="16" width="20.7109375" customWidth="1"/>
    <col min="17" max="17" width="22.140625" customWidth="1"/>
    <col min="18" max="18" width="23.28515625" bestFit="1" customWidth="1"/>
    <col min="19" max="19" width="21" customWidth="1"/>
    <col min="20" max="20" width="16.28515625" customWidth="1"/>
    <col min="21" max="21" width="19.140625" customWidth="1"/>
    <col min="22" max="22" width="16.28515625" bestFit="1" customWidth="1"/>
    <col min="23" max="23" width="14.85546875" customWidth="1"/>
    <col min="24" max="24" width="24.5703125" bestFit="1" customWidth="1"/>
    <col min="25" max="25" width="17.140625" bestFit="1" customWidth="1"/>
    <col min="26" max="26" width="11.28515625" customWidth="1"/>
    <col min="29" max="29" width="13.140625" customWidth="1"/>
    <col min="30" max="30" width="24.5703125" bestFit="1" customWidth="1"/>
    <col min="31" max="31" width="20.140625" bestFit="1" customWidth="1"/>
    <col min="32" max="32" width="12.28515625" bestFit="1" customWidth="1"/>
  </cols>
  <sheetData>
    <row r="1" spans="1:32" ht="15.75" thickBot="1" x14ac:dyDescent="0.3">
      <c r="D1" s="89" t="s">
        <v>143</v>
      </c>
      <c r="E1" s="89"/>
      <c r="F1" s="89"/>
      <c r="G1" s="89"/>
      <c r="J1" s="90" t="s">
        <v>144</v>
      </c>
      <c r="K1" s="90"/>
      <c r="L1" s="90"/>
      <c r="M1" s="90"/>
      <c r="Q1" s="90" t="s">
        <v>145</v>
      </c>
      <c r="R1" s="90"/>
      <c r="S1" s="90"/>
      <c r="T1" s="90"/>
      <c r="W1" s="90" t="s">
        <v>146</v>
      </c>
      <c r="X1" s="90"/>
      <c r="Y1" s="90"/>
      <c r="Z1" s="90"/>
      <c r="AC1" s="94" t="s">
        <v>147</v>
      </c>
      <c r="AD1" s="95"/>
      <c r="AE1" s="95"/>
      <c r="AF1" s="96"/>
    </row>
    <row r="2" spans="1:32" x14ac:dyDescent="0.25">
      <c r="A2" s="41" t="s">
        <v>138</v>
      </c>
      <c r="D2" s="2" t="s">
        <v>88</v>
      </c>
      <c r="E2" s="2" t="s">
        <v>86</v>
      </c>
      <c r="F2" s="2" t="s">
        <v>39</v>
      </c>
      <c r="G2" s="2" t="s">
        <v>87</v>
      </c>
      <c r="J2" s="2" t="s">
        <v>88</v>
      </c>
      <c r="K2" s="2" t="s">
        <v>86</v>
      </c>
      <c r="L2" s="2" t="s">
        <v>39</v>
      </c>
      <c r="M2" s="2" t="s">
        <v>87</v>
      </c>
      <c r="Q2" s="2" t="s">
        <v>88</v>
      </c>
      <c r="R2" s="2" t="s">
        <v>86</v>
      </c>
      <c r="S2" s="2" t="s">
        <v>39</v>
      </c>
      <c r="T2" s="2" t="s">
        <v>87</v>
      </c>
      <c r="W2" s="2" t="s">
        <v>88</v>
      </c>
      <c r="X2" s="2" t="s">
        <v>86</v>
      </c>
      <c r="Y2" s="2" t="s">
        <v>39</v>
      </c>
      <c r="Z2" s="2" t="s">
        <v>87</v>
      </c>
      <c r="AC2" s="2" t="s">
        <v>88</v>
      </c>
      <c r="AD2" s="2" t="s">
        <v>86</v>
      </c>
      <c r="AE2" s="2" t="s">
        <v>39</v>
      </c>
      <c r="AF2" s="2" t="s">
        <v>87</v>
      </c>
    </row>
    <row r="3" spans="1:32" ht="15.75" thickBot="1" x14ac:dyDescent="0.3">
      <c r="A3" s="48" t="s">
        <v>139</v>
      </c>
      <c r="E3" s="1" t="s">
        <v>1</v>
      </c>
      <c r="G3" t="s">
        <v>48</v>
      </c>
      <c r="K3" s="1" t="s">
        <v>1</v>
      </c>
      <c r="M3" t="s">
        <v>40</v>
      </c>
      <c r="Q3" t="s">
        <v>116</v>
      </c>
      <c r="R3" t="s">
        <v>118</v>
      </c>
      <c r="S3" t="s">
        <v>115</v>
      </c>
      <c r="T3" s="2">
        <v>63800</v>
      </c>
      <c r="W3" t="s">
        <v>53</v>
      </c>
      <c r="X3" t="s">
        <v>121</v>
      </c>
      <c r="Y3" t="s">
        <v>115</v>
      </c>
      <c r="Z3">
        <v>63800</v>
      </c>
      <c r="AC3" t="s">
        <v>53</v>
      </c>
      <c r="AD3" s="46" t="s">
        <v>107</v>
      </c>
      <c r="AE3" s="46" t="s">
        <v>40</v>
      </c>
      <c r="AF3" s="44">
        <v>21000</v>
      </c>
    </row>
    <row r="4" spans="1:32" ht="15.75" thickBot="1" x14ac:dyDescent="0.3">
      <c r="E4" s="45" t="s">
        <v>46</v>
      </c>
      <c r="F4" s="46"/>
      <c r="G4" s="42">
        <v>63800</v>
      </c>
      <c r="K4" s="1" t="s">
        <v>41</v>
      </c>
      <c r="L4" s="2"/>
      <c r="M4" s="18">
        <v>63800</v>
      </c>
      <c r="Q4" t="s">
        <v>117</v>
      </c>
      <c r="R4" s="40" t="s">
        <v>118</v>
      </c>
      <c r="S4" s="2"/>
      <c r="T4" s="17">
        <v>63800</v>
      </c>
      <c r="W4" s="91" t="s">
        <v>89</v>
      </c>
      <c r="X4" s="20" t="s">
        <v>90</v>
      </c>
      <c r="Y4" s="27"/>
      <c r="Z4" s="27" t="s">
        <v>91</v>
      </c>
      <c r="AC4" s="92" t="s">
        <v>3</v>
      </c>
      <c r="AD4" s="1" t="s">
        <v>100</v>
      </c>
      <c r="AE4" t="s">
        <v>109</v>
      </c>
      <c r="AF4" s="32">
        <v>3900</v>
      </c>
    </row>
    <row r="5" spans="1:32" x14ac:dyDescent="0.25">
      <c r="D5" s="19" t="s">
        <v>47</v>
      </c>
      <c r="E5" s="20" t="s">
        <v>9</v>
      </c>
      <c r="F5" s="27" t="s">
        <v>36</v>
      </c>
      <c r="G5" s="22">
        <f>G6/2.1809</f>
        <v>29253.977715621993</v>
      </c>
      <c r="K5" s="1" t="s">
        <v>42</v>
      </c>
      <c r="M5" s="18">
        <f>M16</f>
        <v>36543.213296398892</v>
      </c>
      <c r="Q5" s="91" t="s">
        <v>78</v>
      </c>
      <c r="R5" s="20" t="s">
        <v>0</v>
      </c>
      <c r="S5" s="21"/>
      <c r="T5" s="27" t="s">
        <v>14</v>
      </c>
      <c r="W5" s="92"/>
      <c r="X5" s="45" t="s">
        <v>54</v>
      </c>
      <c r="Y5" s="46"/>
      <c r="Z5" s="43">
        <v>131000000000</v>
      </c>
      <c r="AC5" s="92"/>
      <c r="AD5" s="1" t="s">
        <v>103</v>
      </c>
      <c r="AE5" t="s">
        <v>109</v>
      </c>
      <c r="AF5" s="32">
        <v>92670</v>
      </c>
    </row>
    <row r="6" spans="1:32" ht="15.75" thickBot="1" x14ac:dyDescent="0.3">
      <c r="D6" s="23"/>
      <c r="E6" s="1" t="s">
        <v>10</v>
      </c>
      <c r="G6" s="17">
        <f>G4</f>
        <v>63800</v>
      </c>
      <c r="K6" s="1" t="s">
        <v>75</v>
      </c>
      <c r="M6" s="18">
        <f>M14+M17</f>
        <v>99413.401319193668</v>
      </c>
      <c r="Q6" s="92"/>
      <c r="R6" s="45" t="s">
        <v>7</v>
      </c>
      <c r="S6" s="47"/>
      <c r="T6" s="43">
        <v>292000000000</v>
      </c>
      <c r="W6" s="92"/>
      <c r="X6" s="1" t="s">
        <v>92</v>
      </c>
      <c r="Z6" s="2">
        <v>3800</v>
      </c>
      <c r="AC6" s="92"/>
      <c r="AD6" s="1" t="s">
        <v>104</v>
      </c>
      <c r="AF6" s="32">
        <f>AF5+AF4+AF3</f>
        <v>117570</v>
      </c>
    </row>
    <row r="7" spans="1:32" ht="30" x14ac:dyDescent="0.25">
      <c r="D7" s="23"/>
      <c r="E7" s="30" t="s">
        <v>50</v>
      </c>
      <c r="F7" s="31" t="s">
        <v>49</v>
      </c>
      <c r="G7" s="17">
        <v>9060</v>
      </c>
      <c r="J7" s="37" t="s">
        <v>3</v>
      </c>
      <c r="K7" s="20" t="s">
        <v>0</v>
      </c>
      <c r="L7" s="21"/>
      <c r="M7" s="27" t="s">
        <v>14</v>
      </c>
      <c r="Q7" s="92"/>
      <c r="R7" s="1" t="s">
        <v>6</v>
      </c>
      <c r="S7" s="2" t="s">
        <v>44</v>
      </c>
      <c r="T7" s="17">
        <v>3800</v>
      </c>
      <c r="W7" s="92"/>
      <c r="X7" s="1" t="s">
        <v>94</v>
      </c>
      <c r="Z7" s="17">
        <f>2*Z5/(Z6^2)</f>
        <v>18144.044321329638</v>
      </c>
      <c r="AC7" s="92"/>
      <c r="AD7" s="1" t="s">
        <v>112</v>
      </c>
      <c r="AF7" s="32">
        <v>3800</v>
      </c>
    </row>
    <row r="8" spans="1:32" x14ac:dyDescent="0.25">
      <c r="D8" s="23"/>
      <c r="E8" s="1" t="s">
        <v>2</v>
      </c>
      <c r="F8" t="s">
        <v>27</v>
      </c>
      <c r="G8" s="17">
        <v>450</v>
      </c>
      <c r="J8" s="3"/>
      <c r="K8" s="45" t="s">
        <v>7</v>
      </c>
      <c r="L8" s="47"/>
      <c r="M8" s="43">
        <v>292000000000</v>
      </c>
      <c r="Q8" s="92"/>
      <c r="R8" s="1" t="s">
        <v>15</v>
      </c>
      <c r="S8" s="2"/>
      <c r="T8" s="17">
        <f>2*T6/T7^2</f>
        <v>40443.213296398892</v>
      </c>
      <c r="W8" s="92"/>
      <c r="X8" s="1" t="s">
        <v>95</v>
      </c>
      <c r="Z8" s="2">
        <v>7230</v>
      </c>
      <c r="AC8" s="92"/>
      <c r="AD8" s="1" t="s">
        <v>99</v>
      </c>
      <c r="AF8" s="32">
        <v>348</v>
      </c>
    </row>
    <row r="9" spans="1:32" ht="15.75" thickBot="1" x14ac:dyDescent="0.3">
      <c r="D9" s="23"/>
      <c r="E9" s="1" t="s">
        <v>12</v>
      </c>
      <c r="F9" t="s">
        <v>51</v>
      </c>
      <c r="G9" s="17">
        <f>0.95*EXP((G7)/(G8*9.81))*(G6+G5)-(G6+G5)</f>
        <v>595238.59105931455</v>
      </c>
      <c r="J9" s="3"/>
      <c r="K9" s="1" t="s">
        <v>6</v>
      </c>
      <c r="L9" s="2" t="s">
        <v>44</v>
      </c>
      <c r="M9" s="17">
        <v>3800</v>
      </c>
      <c r="Q9" s="92"/>
      <c r="R9" s="1" t="s">
        <v>16</v>
      </c>
      <c r="S9" s="2"/>
      <c r="T9" s="17">
        <v>3900</v>
      </c>
      <c r="W9" s="92"/>
      <c r="X9" s="1" t="s">
        <v>96</v>
      </c>
      <c r="Z9" s="17">
        <f>Z7-Z8</f>
        <v>10914.044321329638</v>
      </c>
      <c r="AC9" s="93"/>
      <c r="AD9" s="1" t="s">
        <v>54</v>
      </c>
      <c r="AF9" s="36">
        <f>0.5*(AF4+AF3)*AF7^2</f>
        <v>179778000000</v>
      </c>
    </row>
    <row r="10" spans="1:32" x14ac:dyDescent="0.25">
      <c r="D10" s="23"/>
      <c r="E10" s="1" t="s">
        <v>79</v>
      </c>
      <c r="F10" t="s">
        <v>84</v>
      </c>
      <c r="G10" s="17">
        <f>G9/3.231</f>
        <v>184227.35718332237</v>
      </c>
      <c r="J10" s="3"/>
      <c r="K10" s="1" t="s">
        <v>15</v>
      </c>
      <c r="L10" s="2"/>
      <c r="M10" s="17">
        <f>2*M8/M9^2</f>
        <v>40443.213296398892</v>
      </c>
      <c r="Q10" s="92"/>
      <c r="R10" s="1" t="s">
        <v>62</v>
      </c>
      <c r="T10" s="17">
        <v>1300</v>
      </c>
      <c r="W10" s="92"/>
      <c r="X10" s="1" t="s">
        <v>99</v>
      </c>
      <c r="Z10" s="2">
        <v>2800</v>
      </c>
      <c r="AC10" s="91" t="s">
        <v>4</v>
      </c>
      <c r="AD10" s="20" t="s">
        <v>104</v>
      </c>
      <c r="AE10" s="27"/>
      <c r="AF10" s="34">
        <f>AF3</f>
        <v>21000</v>
      </c>
    </row>
    <row r="11" spans="1:32" x14ac:dyDescent="0.25">
      <c r="D11" s="23"/>
      <c r="E11" s="1" t="s">
        <v>80</v>
      </c>
      <c r="F11" t="s">
        <v>51</v>
      </c>
      <c r="G11" s="17">
        <f>0.95*EXP((G7)/(G8*9.81))*(G6+G10)-(G6+G10)</f>
        <v>1586557.1602446502</v>
      </c>
      <c r="J11" s="3"/>
      <c r="K11" s="1" t="s">
        <v>16</v>
      </c>
      <c r="L11" s="2"/>
      <c r="M11" s="17">
        <v>3900</v>
      </c>
      <c r="Q11" s="92"/>
      <c r="R11" s="1" t="s">
        <v>8</v>
      </c>
      <c r="S11" s="2"/>
      <c r="T11" s="17">
        <f>T8-T9</f>
        <v>36543.213296398892</v>
      </c>
      <c r="W11" s="92"/>
      <c r="X11" s="1" t="s">
        <v>97</v>
      </c>
      <c r="Z11" s="32">
        <f>EXP((Z6)/(2800*9.81))*(Z7)-(Z7)</f>
        <v>2692.0162970735473</v>
      </c>
      <c r="AC11" s="92"/>
      <c r="AD11" s="1" t="s">
        <v>100</v>
      </c>
      <c r="AE11" t="s">
        <v>108</v>
      </c>
      <c r="AF11" s="32">
        <f>AF10*0.1484</f>
        <v>3116.4</v>
      </c>
    </row>
    <row r="12" spans="1:32" ht="15.75" thickBot="1" x14ac:dyDescent="0.3">
      <c r="D12" s="23"/>
      <c r="E12" s="1" t="s">
        <v>81</v>
      </c>
      <c r="F12" t="s">
        <v>83</v>
      </c>
      <c r="G12" s="17">
        <f>G11/3.231</f>
        <v>491042.14182749932</v>
      </c>
      <c r="J12" s="3"/>
      <c r="K12" s="1" t="s">
        <v>8</v>
      </c>
      <c r="L12" s="2"/>
      <c r="M12" s="17">
        <f>M10-M11</f>
        <v>36543.213296398892</v>
      </c>
      <c r="O12" t="s">
        <v>56</v>
      </c>
      <c r="Q12" s="92"/>
      <c r="R12" s="1" t="s">
        <v>71</v>
      </c>
      <c r="S12" s="2"/>
      <c r="T12" s="17">
        <v>348</v>
      </c>
      <c r="W12" s="93"/>
      <c r="X12" s="24" t="s">
        <v>98</v>
      </c>
      <c r="Y12" s="28"/>
      <c r="Z12" s="26">
        <f>Z11+Z9+Z8</f>
        <v>20836.060618403186</v>
      </c>
      <c r="AC12" s="92"/>
      <c r="AD12" s="1" t="s">
        <v>110</v>
      </c>
      <c r="AE12" t="s">
        <v>111</v>
      </c>
      <c r="AF12" s="32">
        <f>AF11*2.0251</f>
        <v>6311.0216400000008</v>
      </c>
    </row>
    <row r="13" spans="1:32" ht="16.5" customHeight="1" x14ac:dyDescent="0.25">
      <c r="D13" s="23"/>
      <c r="E13" s="1" t="s">
        <v>82</v>
      </c>
      <c r="F13" t="s">
        <v>51</v>
      </c>
      <c r="G13" s="17">
        <f>0.95*EXP((G7)/(G8*9.81))*(G6+G12)-(G6+G12)</f>
        <v>3549159.9915377731</v>
      </c>
      <c r="J13" s="3"/>
      <c r="K13" s="1" t="s">
        <v>5</v>
      </c>
      <c r="L13" s="2"/>
      <c r="M13" s="17">
        <v>348</v>
      </c>
      <c r="O13" s="3">
        <v>9060</v>
      </c>
      <c r="Q13" s="92"/>
      <c r="R13" s="1" t="s">
        <v>35</v>
      </c>
      <c r="S13" s="2"/>
      <c r="T13" s="17">
        <f>EXP(T7/($M$13*9.81))*(T8) - (T8)</f>
        <v>82657.37706480379</v>
      </c>
      <c r="W13" s="91" t="s">
        <v>4</v>
      </c>
      <c r="X13" s="20" t="s">
        <v>93</v>
      </c>
      <c r="Y13" s="27"/>
      <c r="Z13" s="22">
        <f>Z9</f>
        <v>10914.044321329638</v>
      </c>
      <c r="AC13" s="92"/>
      <c r="AD13" s="1" t="s">
        <v>112</v>
      </c>
      <c r="AF13" s="32">
        <v>2500</v>
      </c>
    </row>
    <row r="14" spans="1:32" ht="15.75" thickBot="1" x14ac:dyDescent="0.3">
      <c r="D14" s="39"/>
      <c r="E14" s="24" t="s">
        <v>13</v>
      </c>
      <c r="F14" s="28"/>
      <c r="G14" s="26">
        <f>SUM(G9,G6,G5)</f>
        <v>688292.56877493649</v>
      </c>
      <c r="J14" s="3"/>
      <c r="K14" s="1" t="s">
        <v>35</v>
      </c>
      <c r="L14" s="2"/>
      <c r="M14" s="17">
        <f>EXP(M9/($M$13*9.81))*(M10) - (M10)</f>
        <v>82657.37706480379</v>
      </c>
      <c r="O14" s="17">
        <f>2*M8/O13^2</f>
        <v>7114.6976984440253</v>
      </c>
      <c r="Q14" s="93"/>
      <c r="R14" s="24" t="s">
        <v>43</v>
      </c>
      <c r="S14" s="28"/>
      <c r="T14" s="26">
        <f>T13+T11+T9</f>
        <v>123100.59036120269</v>
      </c>
      <c r="W14" s="92"/>
      <c r="X14" s="1" t="s">
        <v>102</v>
      </c>
      <c r="Y14" t="s">
        <v>101</v>
      </c>
      <c r="Z14" s="17">
        <f>Z13/2.1809</f>
        <v>5004.3763223117239</v>
      </c>
      <c r="AC14" s="92"/>
      <c r="AD14" s="1" t="s">
        <v>99</v>
      </c>
      <c r="AF14" s="32">
        <v>450</v>
      </c>
    </row>
    <row r="15" spans="1:32" ht="15.75" thickBot="1" x14ac:dyDescent="0.3">
      <c r="J15" s="38"/>
      <c r="K15" s="24" t="s">
        <v>43</v>
      </c>
      <c r="L15" s="28"/>
      <c r="M15" s="26">
        <f>M14+M12+M11</f>
        <v>123100.59036120269</v>
      </c>
      <c r="O15" s="17">
        <v>3900</v>
      </c>
      <c r="Q15" s="91" t="s">
        <v>59</v>
      </c>
      <c r="R15" s="1" t="s">
        <v>64</v>
      </c>
      <c r="T15" t="s">
        <v>60</v>
      </c>
      <c r="W15" s="92"/>
      <c r="X15" s="1" t="s">
        <v>99</v>
      </c>
      <c r="Y15" t="s">
        <v>27</v>
      </c>
      <c r="Z15" s="17">
        <v>450</v>
      </c>
      <c r="AC15" s="92"/>
      <c r="AD15" s="1" t="s">
        <v>103</v>
      </c>
      <c r="AE15" t="s">
        <v>113</v>
      </c>
      <c r="AF15" s="32">
        <f>1.11*EXP((AF13)/(AF14*9.81))*(AF12+AF11)-(AF12+AF11)</f>
        <v>9008.4480133912293</v>
      </c>
    </row>
    <row r="16" spans="1:32" ht="15.75" thickBot="1" x14ac:dyDescent="0.3">
      <c r="J16" s="37" t="s">
        <v>4</v>
      </c>
      <c r="K16" s="20" t="s">
        <v>10</v>
      </c>
      <c r="M16" s="22">
        <f>M12</f>
        <v>36543.213296398892</v>
      </c>
      <c r="O16" s="17">
        <f>O14-O15</f>
        <v>3214.6976984440253</v>
      </c>
      <c r="Q16" s="92"/>
      <c r="R16" s="1" t="s">
        <v>85</v>
      </c>
      <c r="T16" s="16">
        <f>0.5*(T17+T22)*T18^2</f>
        <v>31451202769.900978</v>
      </c>
      <c r="W16" s="92"/>
      <c r="X16" s="1" t="s">
        <v>92</v>
      </c>
      <c r="Z16" s="17">
        <v>5000</v>
      </c>
      <c r="AC16" s="93"/>
      <c r="AD16" s="24" t="s">
        <v>54</v>
      </c>
      <c r="AE16" s="28"/>
      <c r="AF16" s="35">
        <f>AF13^2*0.5*(AF12+AF11)</f>
        <v>29460692625</v>
      </c>
    </row>
    <row r="17" spans="10:26" x14ac:dyDescent="0.25">
      <c r="J17" s="3"/>
      <c r="K17" s="1" t="s">
        <v>9</v>
      </c>
      <c r="L17" s="2" t="s">
        <v>36</v>
      </c>
      <c r="M17" s="17">
        <f>M16/2.1809</f>
        <v>16756.024254389882</v>
      </c>
      <c r="O17" s="17">
        <v>348</v>
      </c>
      <c r="Q17" s="92"/>
      <c r="R17" s="1" t="s">
        <v>65</v>
      </c>
      <c r="T17" s="17">
        <f>T11</f>
        <v>36543.213296398892</v>
      </c>
      <c r="W17" s="92"/>
      <c r="X17" s="1" t="s">
        <v>103</v>
      </c>
      <c r="Z17" s="17">
        <f>0.95*EXP((Z16)/(Z15*9.81))*(Z13+Z14) - (Z13+Z14)</f>
        <v>31018.97833907021</v>
      </c>
    </row>
    <row r="18" spans="10:26" x14ac:dyDescent="0.25">
      <c r="J18" s="3"/>
      <c r="K18" s="1" t="s">
        <v>2</v>
      </c>
      <c r="L18" s="2" t="s">
        <v>27</v>
      </c>
      <c r="M18" s="17">
        <v>450</v>
      </c>
      <c r="O18" s="17">
        <f>EXP(O13/($M$13*9.81))*(O14) - (O14)</f>
        <v>93977.66524630526</v>
      </c>
      <c r="Q18" s="92"/>
      <c r="R18" s="1" t="s">
        <v>6</v>
      </c>
      <c r="S18" t="s">
        <v>61</v>
      </c>
      <c r="T18" s="17">
        <v>1280</v>
      </c>
      <c r="W18" s="92"/>
      <c r="X18" s="1" t="s">
        <v>104</v>
      </c>
      <c r="Z18" s="17">
        <f>Z17+Z14+Z13</f>
        <v>46937.398982711573</v>
      </c>
    </row>
    <row r="19" spans="10:26" ht="15.75" thickBot="1" x14ac:dyDescent="0.3">
      <c r="J19" s="3"/>
      <c r="K19" s="1" t="s">
        <v>11</v>
      </c>
      <c r="L19" s="2" t="s">
        <v>37</v>
      </c>
      <c r="M19" s="17">
        <v>5000</v>
      </c>
      <c r="O19" s="17">
        <f>O18+O16+O15</f>
        <v>101092.36294474929</v>
      </c>
      <c r="Q19" s="92"/>
      <c r="R19" s="1" t="s">
        <v>70</v>
      </c>
      <c r="T19" s="2">
        <v>348</v>
      </c>
      <c r="W19" s="93"/>
      <c r="X19" s="24" t="s">
        <v>54</v>
      </c>
      <c r="Y19" s="28"/>
      <c r="Z19" s="28">
        <f>Z16^2*0.5*(Z13+Z14)</f>
        <v>198980258045.51703</v>
      </c>
    </row>
    <row r="20" spans="10:26" x14ac:dyDescent="0.25">
      <c r="J20" s="3"/>
      <c r="K20" s="1" t="s">
        <v>12</v>
      </c>
      <c r="L20" s="2" t="s">
        <v>38</v>
      </c>
      <c r="M20" s="17">
        <f>0.95*EXP((M19)/(M18*9.81))*(M17+M16)-(M17+M16)</f>
        <v>103860.04567213666</v>
      </c>
      <c r="O20" s="17">
        <f>O16</f>
        <v>3214.6976984440253</v>
      </c>
      <c r="Q20" s="92"/>
      <c r="R20" s="1" t="s">
        <v>66</v>
      </c>
      <c r="S20" t="s">
        <v>63</v>
      </c>
      <c r="T20" s="29">
        <f>(T9-T10)/((T13)/(EXP((T18)/(T19*9.81))*(T17+T9)-(T17+T9)))+T10</f>
        <v>1878.7049298125366</v>
      </c>
    </row>
    <row r="21" spans="10:26" x14ac:dyDescent="0.25">
      <c r="J21" s="3"/>
      <c r="K21" s="1" t="s">
        <v>58</v>
      </c>
      <c r="M21" s="16">
        <f>0.5*(M17+M16)*M19^2</f>
        <v>666240469384.85974</v>
      </c>
      <c r="O21" s="17">
        <f>O20/2.1809</f>
        <v>1474.0234299802951</v>
      </c>
      <c r="Q21" s="92"/>
      <c r="R21" s="1" t="s">
        <v>67</v>
      </c>
      <c r="T21" s="29">
        <f>(T9-T10)/((T13)/(EXP((T18)/(T19*9.81))*(T17+T20)-(T17+T20)))+T10</f>
        <v>1849.7820691795162</v>
      </c>
    </row>
    <row r="22" spans="10:26" ht="15.75" thickBot="1" x14ac:dyDescent="0.3">
      <c r="J22" s="38"/>
      <c r="K22" s="24" t="s">
        <v>13</v>
      </c>
      <c r="L22" s="25"/>
      <c r="M22" s="26">
        <f>SUM(M20,M17,M16)</f>
        <v>157159.28322292544</v>
      </c>
      <c r="O22" s="17">
        <v>450</v>
      </c>
      <c r="Q22" s="92"/>
      <c r="R22" s="1" t="s">
        <v>68</v>
      </c>
      <c r="T22" s="29">
        <f>(T9-T10)/((T13)/(EXP((T18)/(T19*9.81))*(T17+T21)-(T17+T21)))+T10</f>
        <v>1849.3682098278878</v>
      </c>
    </row>
    <row r="23" spans="10:26" x14ac:dyDescent="0.25">
      <c r="O23" s="17">
        <v>5000</v>
      </c>
      <c r="Q23" s="92"/>
      <c r="R23" s="1" t="s">
        <v>73</v>
      </c>
      <c r="T23" s="29">
        <f>(EXP((T18)/(T19*9.81))*(T17+T21)-(T17+T21))</f>
        <v>17465.128948907681</v>
      </c>
    </row>
    <row r="24" spans="10:26" ht="15.75" thickBot="1" x14ac:dyDescent="0.3">
      <c r="N24">
        <f>M17/M20</f>
        <v>0.16133272564971682</v>
      </c>
      <c r="O24" s="17">
        <f>EXP((O23)/(O22*9.81))*(O21+O20)-(O21+O20)</f>
        <v>9864.188772578811</v>
      </c>
      <c r="Q24" s="93"/>
      <c r="R24" s="1" t="s">
        <v>69</v>
      </c>
      <c r="T24" s="29">
        <f>T23+T22+T17</f>
        <v>55857.71045513446</v>
      </c>
    </row>
    <row r="25" spans="10:26" x14ac:dyDescent="0.25">
      <c r="O25" s="17">
        <f>SUM(O24,O21,O20)</f>
        <v>14552.909901003131</v>
      </c>
      <c r="Q25" s="91" t="s">
        <v>4</v>
      </c>
      <c r="R25" s="20" t="s">
        <v>10</v>
      </c>
      <c r="S25" s="27"/>
      <c r="T25" s="22">
        <f>T17</f>
        <v>36543.213296398892</v>
      </c>
    </row>
    <row r="26" spans="10:26" x14ac:dyDescent="0.25">
      <c r="Q26" s="92"/>
      <c r="R26" s="1" t="s">
        <v>9</v>
      </c>
      <c r="S26" s="2" t="s">
        <v>36</v>
      </c>
      <c r="T26" s="17">
        <f>T25/2.1809</f>
        <v>16756.024254389882</v>
      </c>
    </row>
    <row r="27" spans="10:26" ht="15.75" customHeight="1" x14ac:dyDescent="0.25">
      <c r="Q27" s="92"/>
      <c r="R27" s="1" t="s">
        <v>2</v>
      </c>
      <c r="S27" s="2" t="s">
        <v>27</v>
      </c>
      <c r="T27" s="17">
        <v>450</v>
      </c>
    </row>
    <row r="28" spans="10:26" ht="28.5" customHeight="1" x14ac:dyDescent="0.25">
      <c r="Q28" s="92"/>
      <c r="R28" s="1" t="s">
        <v>11</v>
      </c>
      <c r="S28" s="2" t="s">
        <v>76</v>
      </c>
      <c r="T28" s="17">
        <v>3800</v>
      </c>
    </row>
    <row r="29" spans="10:26" x14ac:dyDescent="0.25">
      <c r="Q29" s="92"/>
      <c r="R29" s="1" t="s">
        <v>12</v>
      </c>
      <c r="S29" s="2" t="s">
        <v>38</v>
      </c>
      <c r="T29" s="17">
        <f>0.95*EXP((T28)/(T27*9.81))*(T25+T26)-(T25+T26)</f>
        <v>66453.412915555862</v>
      </c>
    </row>
    <row r="30" spans="10:26" ht="15.75" customHeight="1" x14ac:dyDescent="0.25">
      <c r="Q30" s="92"/>
      <c r="R30" s="1" t="s">
        <v>58</v>
      </c>
      <c r="T30" s="16">
        <f>0.5*(T25+T26)*T28^2</f>
        <v>384820495116.69495</v>
      </c>
    </row>
    <row r="31" spans="10:26" ht="15.75" customHeight="1" thickBot="1" x14ac:dyDescent="0.3">
      <c r="Q31" s="93"/>
      <c r="R31" s="24" t="s">
        <v>13</v>
      </c>
      <c r="S31" s="25"/>
      <c r="T31" s="26">
        <f>SUM(T29,T25,T26)</f>
        <v>119752.65046634462</v>
      </c>
    </row>
    <row r="32" spans="10:26" ht="19.5" customHeight="1" x14ac:dyDescent="0.25"/>
    <row r="33" spans="4:32" ht="18" customHeight="1" x14ac:dyDescent="0.25"/>
    <row r="34" spans="4:32" ht="14.25" customHeight="1" thickBot="1" x14ac:dyDescent="0.3">
      <c r="D34" s="89" t="s">
        <v>149</v>
      </c>
      <c r="E34" s="89"/>
      <c r="F34" s="89"/>
      <c r="G34" s="89"/>
      <c r="J34" s="89" t="s">
        <v>180</v>
      </c>
      <c r="K34" s="89"/>
      <c r="L34" s="89"/>
      <c r="M34" s="89"/>
      <c r="Q34" s="90" t="s">
        <v>148</v>
      </c>
      <c r="R34" s="90"/>
      <c r="S34" s="90"/>
      <c r="T34" s="90"/>
      <c r="W34" s="89" t="s">
        <v>150</v>
      </c>
      <c r="X34" s="89"/>
      <c r="Y34" s="89"/>
      <c r="Z34" s="89"/>
      <c r="AC34" s="89" t="s">
        <v>151</v>
      </c>
      <c r="AD34" s="89"/>
      <c r="AE34" s="89"/>
      <c r="AF34" s="89"/>
    </row>
    <row r="35" spans="4:32" ht="15.75" thickBot="1" x14ac:dyDescent="0.3">
      <c r="D35" s="2" t="s">
        <v>139</v>
      </c>
      <c r="E35" s="2" t="s">
        <v>152</v>
      </c>
      <c r="F35" s="2" t="s">
        <v>39</v>
      </c>
      <c r="G35" s="2" t="s">
        <v>87</v>
      </c>
      <c r="J35" s="2" t="s">
        <v>139</v>
      </c>
      <c r="K35" s="2" t="s">
        <v>152</v>
      </c>
      <c r="L35" s="2" t="s">
        <v>39</v>
      </c>
      <c r="M35" s="2" t="s">
        <v>87</v>
      </c>
      <c r="Q35" s="2" t="s">
        <v>139</v>
      </c>
      <c r="R35" s="2" t="s">
        <v>152</v>
      </c>
      <c r="S35" s="2" t="s">
        <v>39</v>
      </c>
      <c r="T35" s="2" t="s">
        <v>87</v>
      </c>
      <c r="W35" s="2" t="s">
        <v>139</v>
      </c>
      <c r="X35" s="2" t="s">
        <v>152</v>
      </c>
      <c r="Y35" s="2" t="s">
        <v>39</v>
      </c>
      <c r="Z35" s="2" t="s">
        <v>87</v>
      </c>
      <c r="AC35" s="2" t="s">
        <v>139</v>
      </c>
      <c r="AD35" s="2" t="s">
        <v>152</v>
      </c>
      <c r="AE35" s="2" t="s">
        <v>39</v>
      </c>
      <c r="AF35" s="2" t="s">
        <v>87</v>
      </c>
    </row>
    <row r="36" spans="4:32" x14ac:dyDescent="0.25">
      <c r="D36" s="27" t="s">
        <v>153</v>
      </c>
      <c r="E36" s="20" t="s">
        <v>114</v>
      </c>
      <c r="F36" s="27"/>
      <c r="G36" s="22">
        <f>G9</f>
        <v>595238.59105931455</v>
      </c>
      <c r="J36" s="27" t="s">
        <v>153</v>
      </c>
      <c r="K36" s="20" t="s">
        <v>77</v>
      </c>
      <c r="L36" s="27"/>
      <c r="M36" s="22">
        <f>M14+M20</f>
        <v>186517.42273694044</v>
      </c>
      <c r="Q36" s="27" t="s">
        <v>153</v>
      </c>
      <c r="R36" s="20" t="s">
        <v>77</v>
      </c>
      <c r="S36" s="27"/>
      <c r="T36" s="22">
        <f>T13+T23+T29</f>
        <v>166575.91892926733</v>
      </c>
      <c r="W36" s="27" t="s">
        <v>153</v>
      </c>
      <c r="X36" s="20" t="s">
        <v>114</v>
      </c>
      <c r="Y36" s="27"/>
      <c r="Z36" s="22">
        <f>Z17+Z11</f>
        <v>33710.994636143761</v>
      </c>
      <c r="AC36" s="27" t="s">
        <v>153</v>
      </c>
      <c r="AD36" s="20" t="s">
        <v>114</v>
      </c>
      <c r="AE36" s="27"/>
      <c r="AF36" s="34">
        <f>AF15+AF5</f>
        <v>101678.44801339123</v>
      </c>
    </row>
    <row r="37" spans="4:32" x14ac:dyDescent="0.25">
      <c r="E37" s="1" t="s">
        <v>119</v>
      </c>
      <c r="G37" s="17">
        <f>ROUNDUP(G5/G4, 0)</f>
        <v>1</v>
      </c>
      <c r="K37" s="1" t="s">
        <v>119</v>
      </c>
      <c r="M37" s="2">
        <f>ROUNDUP((M11+M17)/M4, 0)</f>
        <v>1</v>
      </c>
      <c r="R37" s="1" t="s">
        <v>119</v>
      </c>
      <c r="T37" s="17">
        <f>ROUNDUP((T9+T22+T26)/T3, 0)</f>
        <v>1</v>
      </c>
      <c r="X37" s="1" t="s">
        <v>119</v>
      </c>
      <c r="Z37" s="2">
        <f>ROUNDUP(((Z8+Z11+Z14)/Z3), 0)</f>
        <v>1</v>
      </c>
      <c r="AD37" s="1" t="s">
        <v>119</v>
      </c>
      <c r="AF37" s="2">
        <f>ROUNDUP((AF4+AF12)/AF3, 0)</f>
        <v>1</v>
      </c>
    </row>
    <row r="38" spans="4:32" x14ac:dyDescent="0.25">
      <c r="E38" s="1" t="s">
        <v>120</v>
      </c>
      <c r="G38" s="17">
        <f>ROUNDUP((G36+G6)/G4, 0)</f>
        <v>11</v>
      </c>
      <c r="K38" s="1" t="s">
        <v>120</v>
      </c>
      <c r="M38" s="2">
        <f>ROUNDUP((M16+M14)/M4, 0)</f>
        <v>2</v>
      </c>
      <c r="R38" s="1" t="s">
        <v>120</v>
      </c>
      <c r="T38" s="2">
        <f>ROUNDUP(T13/T4, 0)</f>
        <v>2</v>
      </c>
      <c r="X38" s="1" t="s">
        <v>120</v>
      </c>
      <c r="Z38" s="32">
        <f>ROUNDUP((Z11+Z13)/Z3, 0)</f>
        <v>1</v>
      </c>
      <c r="AD38" s="1" t="s">
        <v>120</v>
      </c>
      <c r="AF38" s="2">
        <v>1</v>
      </c>
    </row>
    <row r="39" spans="4:32" x14ac:dyDescent="0.25">
      <c r="D39">
        <v>1</v>
      </c>
      <c r="E39" s="49" t="s">
        <v>129</v>
      </c>
      <c r="F39" s="48"/>
      <c r="G39" s="50">
        <f>G6</f>
        <v>63800</v>
      </c>
      <c r="J39">
        <v>1</v>
      </c>
      <c r="K39" s="49" t="s">
        <v>129</v>
      </c>
      <c r="L39" s="48"/>
      <c r="M39" s="50">
        <f>M16</f>
        <v>36543.213296398892</v>
      </c>
      <c r="Q39">
        <v>1</v>
      </c>
      <c r="R39" s="49" t="s">
        <v>129</v>
      </c>
      <c r="S39" s="48"/>
      <c r="T39" s="50">
        <f>T25</f>
        <v>36543.213296398892</v>
      </c>
      <c r="W39">
        <v>1</v>
      </c>
      <c r="X39" s="49" t="s">
        <v>129</v>
      </c>
      <c r="Y39" s="48"/>
      <c r="Z39" s="50">
        <f>Z13</f>
        <v>10914.044321329638</v>
      </c>
      <c r="AC39">
        <v>1</v>
      </c>
      <c r="AD39" s="49" t="s">
        <v>129</v>
      </c>
      <c r="AE39" s="48"/>
      <c r="AF39" s="51">
        <f>AF12</f>
        <v>6311.0216400000008</v>
      </c>
    </row>
    <row r="40" spans="4:32" x14ac:dyDescent="0.25">
      <c r="D40">
        <v>2</v>
      </c>
      <c r="E40" s="49" t="s">
        <v>128</v>
      </c>
      <c r="F40" s="48"/>
      <c r="G40" s="50">
        <f>G6</f>
        <v>63800</v>
      </c>
      <c r="J40">
        <v>2</v>
      </c>
      <c r="K40" s="49" t="s">
        <v>128</v>
      </c>
      <c r="L40" s="48"/>
      <c r="M40" s="50">
        <f>M16</f>
        <v>36543.213296398892</v>
      </c>
      <c r="Q40">
        <v>2</v>
      </c>
      <c r="R40" s="49" t="s">
        <v>128</v>
      </c>
      <c r="S40" s="48"/>
      <c r="T40" s="50">
        <f>T25</f>
        <v>36543.213296398892</v>
      </c>
      <c r="W40">
        <v>2</v>
      </c>
      <c r="X40" s="49" t="s">
        <v>128</v>
      </c>
      <c r="Y40" s="48"/>
      <c r="Z40" s="51">
        <f>Z39/Z38</f>
        <v>10914.044321329638</v>
      </c>
      <c r="AC40">
        <v>2</v>
      </c>
      <c r="AD40" s="49" t="s">
        <v>128</v>
      </c>
      <c r="AE40" s="48"/>
      <c r="AF40" s="51">
        <f>AF12</f>
        <v>6311.0216400000008</v>
      </c>
    </row>
    <row r="41" spans="4:32" ht="37.5" customHeight="1" thickBot="1" x14ac:dyDescent="0.3">
      <c r="D41">
        <v>3</v>
      </c>
      <c r="E41" s="1" t="s">
        <v>122</v>
      </c>
      <c r="G41" s="32">
        <f>G39/G38</f>
        <v>5800</v>
      </c>
      <c r="J41">
        <v>3</v>
      </c>
      <c r="K41" s="1" t="s">
        <v>122</v>
      </c>
      <c r="M41" s="32">
        <f>M39/M38</f>
        <v>18271.606648199446</v>
      </c>
      <c r="Q41">
        <v>3</v>
      </c>
      <c r="R41" s="1" t="s">
        <v>123</v>
      </c>
      <c r="T41" s="32">
        <f>T40/T38</f>
        <v>18271.606648199446</v>
      </c>
      <c r="W41">
        <v>3</v>
      </c>
      <c r="X41" s="1" t="s">
        <v>123</v>
      </c>
      <c r="Z41" s="17">
        <f>Z13</f>
        <v>10914.044321329638</v>
      </c>
      <c r="AC41">
        <v>3</v>
      </c>
      <c r="AD41" s="1" t="s">
        <v>123</v>
      </c>
      <c r="AF41" s="32">
        <f>AF40/AF38</f>
        <v>6311.0216400000008</v>
      </c>
    </row>
    <row r="42" spans="4:32" ht="36" customHeight="1" x14ac:dyDescent="0.25">
      <c r="D42" s="27" t="s">
        <v>154</v>
      </c>
      <c r="E42" s="20" t="s">
        <v>124</v>
      </c>
      <c r="F42" s="27" t="s">
        <v>125</v>
      </c>
      <c r="G42" s="21">
        <v>11</v>
      </c>
      <c r="J42" s="27" t="s">
        <v>154</v>
      </c>
      <c r="K42" s="54" t="s">
        <v>124</v>
      </c>
      <c r="L42" s="56" t="s">
        <v>126</v>
      </c>
      <c r="M42" s="21">
        <v>4</v>
      </c>
      <c r="Q42" s="27" t="s">
        <v>154</v>
      </c>
      <c r="R42" s="54" t="s">
        <v>124</v>
      </c>
      <c r="S42" s="55" t="s">
        <v>127</v>
      </c>
      <c r="T42" s="21">
        <v>6</v>
      </c>
      <c r="W42" s="27" t="s">
        <v>154</v>
      </c>
      <c r="X42" s="20" t="s">
        <v>124</v>
      </c>
      <c r="Y42" s="55" t="s">
        <v>133</v>
      </c>
      <c r="Z42" s="21">
        <v>3</v>
      </c>
      <c r="AC42" s="27" t="s">
        <v>154</v>
      </c>
      <c r="AD42" s="20" t="s">
        <v>124</v>
      </c>
      <c r="AE42" s="27"/>
      <c r="AF42" s="21">
        <v>0</v>
      </c>
    </row>
    <row r="43" spans="4:32" ht="15.75" customHeight="1" x14ac:dyDescent="0.25">
      <c r="E43" s="1" t="s">
        <v>130</v>
      </c>
      <c r="G43" s="2">
        <v>10</v>
      </c>
      <c r="K43" s="1" t="s">
        <v>130</v>
      </c>
      <c r="L43" s="31" t="s">
        <v>131</v>
      </c>
      <c r="M43" s="2">
        <v>3</v>
      </c>
      <c r="R43" s="1" t="s">
        <v>130</v>
      </c>
      <c r="S43" s="31" t="s">
        <v>132</v>
      </c>
      <c r="T43" s="2">
        <v>4</v>
      </c>
      <c r="X43" s="1" t="s">
        <v>130</v>
      </c>
      <c r="Y43" s="31" t="s">
        <v>134</v>
      </c>
      <c r="Z43" s="2">
        <v>3</v>
      </c>
      <c r="AD43" s="1" t="s">
        <v>130</v>
      </c>
      <c r="AF43" s="2">
        <v>0</v>
      </c>
    </row>
    <row r="44" spans="4:32" x14ac:dyDescent="0.25">
      <c r="E44" s="1" t="s">
        <v>135</v>
      </c>
      <c r="G44" s="2">
        <v>1</v>
      </c>
      <c r="K44" s="1" t="s">
        <v>135</v>
      </c>
      <c r="M44" s="2">
        <v>1</v>
      </c>
      <c r="R44" s="1" t="s">
        <v>135</v>
      </c>
      <c r="T44" s="2">
        <v>1</v>
      </c>
      <c r="X44" s="1" t="s">
        <v>135</v>
      </c>
      <c r="Z44" s="2">
        <v>1</v>
      </c>
      <c r="AD44" s="1" t="s">
        <v>135</v>
      </c>
      <c r="AF44" s="2">
        <v>1</v>
      </c>
    </row>
    <row r="45" spans="4:32" x14ac:dyDescent="0.25">
      <c r="E45" s="1" t="s">
        <v>136</v>
      </c>
      <c r="G45" s="2">
        <v>0</v>
      </c>
      <c r="K45" s="1" t="s">
        <v>136</v>
      </c>
      <c r="M45" s="2">
        <v>0</v>
      </c>
      <c r="R45" s="1" t="s">
        <v>136</v>
      </c>
      <c r="T45" s="2">
        <v>0</v>
      </c>
      <c r="X45" s="1" t="s">
        <v>136</v>
      </c>
      <c r="Z45" s="2">
        <v>1</v>
      </c>
      <c r="AD45" s="1" t="s">
        <v>136</v>
      </c>
      <c r="AF45" s="2">
        <v>0</v>
      </c>
    </row>
    <row r="46" spans="4:32" x14ac:dyDescent="0.25">
      <c r="E46" s="1" t="s">
        <v>142</v>
      </c>
      <c r="K46" s="1" t="s">
        <v>142</v>
      </c>
      <c r="R46" s="1" t="s">
        <v>142</v>
      </c>
      <c r="X46" s="1" t="s">
        <v>142</v>
      </c>
      <c r="AD46" s="1" t="s">
        <v>142</v>
      </c>
    </row>
    <row r="47" spans="4:32" x14ac:dyDescent="0.25">
      <c r="E47" s="1" t="s">
        <v>140</v>
      </c>
      <c r="K47" s="1" t="s">
        <v>140</v>
      </c>
      <c r="R47" s="1" t="s">
        <v>140</v>
      </c>
      <c r="X47" s="1" t="s">
        <v>140</v>
      </c>
      <c r="AD47" s="1" t="s">
        <v>140</v>
      </c>
    </row>
    <row r="48" spans="4:32" x14ac:dyDescent="0.25">
      <c r="E48" s="1" t="s">
        <v>137</v>
      </c>
      <c r="G48" s="2">
        <f>G45+G44+G43+G42</f>
        <v>22</v>
      </c>
      <c r="K48" s="1" t="s">
        <v>137</v>
      </c>
      <c r="M48" s="2">
        <f>M45+M44+M43+M42</f>
        <v>8</v>
      </c>
      <c r="R48" s="1" t="s">
        <v>137</v>
      </c>
      <c r="T48" s="2">
        <f>T45+T44+T43+T42</f>
        <v>11</v>
      </c>
      <c r="X48" s="1" t="s">
        <v>137</v>
      </c>
      <c r="Z48" s="2">
        <f>Z45+Z44+Z43+Z42</f>
        <v>8</v>
      </c>
      <c r="AD48" s="1" t="s">
        <v>137</v>
      </c>
      <c r="AF48" s="2">
        <f>AF45+AF44+AF43+AF42</f>
        <v>1</v>
      </c>
    </row>
    <row r="49" spans="4:32" ht="15.75" thickBot="1" x14ac:dyDescent="0.3">
      <c r="D49" s="28">
        <v>4</v>
      </c>
      <c r="E49" s="52" t="s">
        <v>141</v>
      </c>
      <c r="F49" s="53"/>
      <c r="G49" s="53">
        <f>SUM(G46:G48)</f>
        <v>22</v>
      </c>
      <c r="J49" s="28">
        <v>4</v>
      </c>
      <c r="K49" s="52" t="s">
        <v>141</v>
      </c>
      <c r="L49" s="53"/>
      <c r="M49" s="53">
        <f>SUM(M46:M48)</f>
        <v>8</v>
      </c>
      <c r="Q49" s="28">
        <v>4</v>
      </c>
      <c r="R49" s="52" t="s">
        <v>141</v>
      </c>
      <c r="S49" s="53"/>
      <c r="T49" s="53">
        <f>SUM(T46:T48)</f>
        <v>11</v>
      </c>
      <c r="W49" s="28">
        <v>4</v>
      </c>
      <c r="X49" s="52" t="s">
        <v>141</v>
      </c>
      <c r="Y49" s="53"/>
      <c r="Z49" s="53">
        <f>SUM(Z46:Z48)</f>
        <v>8</v>
      </c>
      <c r="AC49" s="28">
        <v>4</v>
      </c>
      <c r="AD49" s="52" t="s">
        <v>141</v>
      </c>
      <c r="AE49" s="53"/>
      <c r="AF49" s="53">
        <f>SUM(AF46:AF48)</f>
        <v>1</v>
      </c>
    </row>
    <row r="50" spans="4:32" x14ac:dyDescent="0.25">
      <c r="D50" s="27" t="s">
        <v>155</v>
      </c>
      <c r="E50" s="20" t="s">
        <v>174</v>
      </c>
      <c r="F50" s="27" t="s">
        <v>178</v>
      </c>
      <c r="G50" s="58">
        <f>3/24</f>
        <v>0.125</v>
      </c>
      <c r="J50" s="27" t="s">
        <v>155</v>
      </c>
      <c r="K50" s="20" t="s">
        <v>183</v>
      </c>
      <c r="L50" s="27" t="s">
        <v>178</v>
      </c>
      <c r="M50" s="27">
        <v>0.125</v>
      </c>
      <c r="Q50" s="27" t="s">
        <v>155</v>
      </c>
      <c r="R50" s="20" t="s">
        <v>183</v>
      </c>
      <c r="S50" s="27" t="s">
        <v>178</v>
      </c>
      <c r="T50" s="27">
        <v>0.125</v>
      </c>
      <c r="W50" s="27" t="s">
        <v>155</v>
      </c>
      <c r="X50" s="20" t="s">
        <v>183</v>
      </c>
      <c r="Y50" s="27" t="s">
        <v>178</v>
      </c>
      <c r="Z50" s="27">
        <v>0.125</v>
      </c>
      <c r="AC50" s="27" t="s">
        <v>155</v>
      </c>
      <c r="AD50" s="20" t="s">
        <v>183</v>
      </c>
      <c r="AE50" s="27" t="s">
        <v>178</v>
      </c>
      <c r="AF50" s="27">
        <v>0.125</v>
      </c>
    </row>
    <row r="51" spans="4:32" x14ac:dyDescent="0.25">
      <c r="E51" s="1" t="s">
        <v>181</v>
      </c>
      <c r="F51" t="s">
        <v>182</v>
      </c>
      <c r="G51" s="64">
        <f>99</f>
        <v>99</v>
      </c>
      <c r="K51" s="1" t="s">
        <v>173</v>
      </c>
      <c r="L51" s="65" t="s">
        <v>182</v>
      </c>
      <c r="M51" s="65">
        <v>99</v>
      </c>
      <c r="R51" s="1" t="s">
        <v>173</v>
      </c>
      <c r="S51" s="65" t="s">
        <v>182</v>
      </c>
      <c r="T51" s="65">
        <v>99</v>
      </c>
      <c r="X51" s="1" t="s">
        <v>173</v>
      </c>
      <c r="Y51" s="65" t="s">
        <v>182</v>
      </c>
      <c r="Z51" s="65">
        <v>99</v>
      </c>
      <c r="AD51" s="1" t="s">
        <v>173</v>
      </c>
      <c r="AE51" s="65" t="s">
        <v>182</v>
      </c>
      <c r="AF51" s="65">
        <v>99</v>
      </c>
    </row>
    <row r="52" spans="4:32" x14ac:dyDescent="0.25">
      <c r="E52" s="60" t="s">
        <v>175</v>
      </c>
      <c r="F52" s="61" t="s">
        <v>172</v>
      </c>
      <c r="G52" s="62">
        <f>G42*G50+(G36/G51/60/60/24)</f>
        <v>1.4445892479259392</v>
      </c>
      <c r="K52" s="60" t="s">
        <v>175</v>
      </c>
      <c r="L52" t="s">
        <v>184</v>
      </c>
      <c r="M52">
        <f>M50*2+(M14/M51/60/60/24)</f>
        <v>0.25966346065572432</v>
      </c>
      <c r="R52" s="60" t="s">
        <v>175</v>
      </c>
      <c r="S52" t="s">
        <v>184</v>
      </c>
      <c r="T52" s="59">
        <f>T50*2+(T13/T51/60/60/24)</f>
        <v>0.25966346065572432</v>
      </c>
      <c r="X52" s="60" t="s">
        <v>175</v>
      </c>
      <c r="Y52" t="s">
        <v>184</v>
      </c>
      <c r="Z52">
        <f>Z50</f>
        <v>0.125</v>
      </c>
      <c r="AD52" s="60" t="s">
        <v>175</v>
      </c>
      <c r="AE52" t="s">
        <v>200</v>
      </c>
      <c r="AF52">
        <v>0.1</v>
      </c>
    </row>
    <row r="53" spans="4:32" x14ac:dyDescent="0.25">
      <c r="E53" s="1" t="s">
        <v>176</v>
      </c>
      <c r="F53" t="s">
        <v>171</v>
      </c>
      <c r="G53" s="59">
        <v>5</v>
      </c>
      <c r="K53" s="1" t="s">
        <v>176</v>
      </c>
      <c r="L53" t="s">
        <v>195</v>
      </c>
      <c r="M53">
        <v>5.0999999999999996</v>
      </c>
      <c r="R53" s="1" t="s">
        <v>176</v>
      </c>
      <c r="S53" t="s">
        <v>195</v>
      </c>
      <c r="T53" s="59">
        <f>M53</f>
        <v>5.0999999999999996</v>
      </c>
      <c r="X53" s="1" t="s">
        <v>176</v>
      </c>
      <c r="Y53" t="s">
        <v>195</v>
      </c>
      <c r="Z53">
        <v>270</v>
      </c>
      <c r="AD53" s="1" t="s">
        <v>176</v>
      </c>
      <c r="AE53" t="s">
        <v>202</v>
      </c>
      <c r="AF53">
        <v>3.04</v>
      </c>
    </row>
    <row r="54" spans="4:32" x14ac:dyDescent="0.25">
      <c r="E54" s="1" t="s">
        <v>177</v>
      </c>
      <c r="F54" t="s">
        <v>187</v>
      </c>
      <c r="K54" s="1" t="s">
        <v>177</v>
      </c>
      <c r="L54" t="s">
        <v>185</v>
      </c>
      <c r="M54">
        <v>0.55000000000000004</v>
      </c>
      <c r="R54" s="1" t="s">
        <v>177</v>
      </c>
      <c r="S54" t="s">
        <v>196</v>
      </c>
      <c r="T54" s="59">
        <f>M54+T50+(T29/T51/60/60/24)</f>
        <v>0.68276905781373409</v>
      </c>
      <c r="X54" s="1" t="s">
        <v>177</v>
      </c>
      <c r="Y54" t="s">
        <v>199</v>
      </c>
      <c r="Z54">
        <v>0.55000000000000004</v>
      </c>
      <c r="AD54" s="1" t="s">
        <v>177</v>
      </c>
      <c r="AE54" t="s">
        <v>201</v>
      </c>
      <c r="AF54">
        <f>0.1666</f>
        <v>0.1666</v>
      </c>
    </row>
    <row r="55" spans="4:32" ht="15.75" thickBot="1" x14ac:dyDescent="0.3">
      <c r="E55" s="49" t="s">
        <v>189</v>
      </c>
      <c r="F55" s="48"/>
      <c r="G55" s="66">
        <f>SUM(G52:G54)</f>
        <v>6.444589247925939</v>
      </c>
      <c r="K55" s="49" t="s">
        <v>189</v>
      </c>
      <c r="L55" s="48"/>
      <c r="M55" s="48">
        <f>SUM(M52:M54)</f>
        <v>5.9096634606557235</v>
      </c>
      <c r="R55" s="1" t="s">
        <v>186</v>
      </c>
      <c r="S55" t="s">
        <v>193</v>
      </c>
      <c r="T55" s="59">
        <f>0.1666666</f>
        <v>0.1666666</v>
      </c>
      <c r="X55" s="49" t="s">
        <v>189</v>
      </c>
      <c r="Y55" s="48"/>
      <c r="Z55" s="48">
        <f>SUM(Z52:Z54)</f>
        <v>270.67500000000001</v>
      </c>
      <c r="AD55" s="49" t="s">
        <v>189</v>
      </c>
      <c r="AE55" s="48"/>
      <c r="AF55" s="48">
        <f>SUM(AF52:AF54)</f>
        <v>3.3066</v>
      </c>
    </row>
    <row r="56" spans="4:32" ht="15.75" thickBot="1" x14ac:dyDescent="0.3">
      <c r="E56" s="1" t="s">
        <v>186</v>
      </c>
      <c r="F56" t="s">
        <v>188</v>
      </c>
      <c r="G56" s="59">
        <f>G53</f>
        <v>5</v>
      </c>
      <c r="K56" s="1" t="s">
        <v>186</v>
      </c>
      <c r="L56" t="s">
        <v>191</v>
      </c>
      <c r="M56">
        <f>M54+M50</f>
        <v>0.67500000000000004</v>
      </c>
      <c r="R56" s="49" t="s">
        <v>189</v>
      </c>
      <c r="S56" s="48"/>
      <c r="T56" s="66">
        <f>SUM(T52:T55)</f>
        <v>6.2090991184694575</v>
      </c>
      <c r="X56" s="1" t="s">
        <v>186</v>
      </c>
      <c r="Y56" t="s">
        <v>191</v>
      </c>
      <c r="Z56">
        <f>Z54+Z50</f>
        <v>0.67500000000000004</v>
      </c>
      <c r="AC56" s="57" t="s">
        <v>156</v>
      </c>
      <c r="AD56" s="57"/>
      <c r="AE56" s="57"/>
      <c r="AF56" s="57"/>
    </row>
    <row r="57" spans="4:32" ht="15.75" thickBot="1" x14ac:dyDescent="0.3">
      <c r="D57" s="28"/>
      <c r="E57" s="49" t="s">
        <v>179</v>
      </c>
      <c r="F57" s="48"/>
      <c r="G57" s="63">
        <f>SUM(G52:G56)</f>
        <v>17.88917849585188</v>
      </c>
      <c r="K57" s="1" t="s">
        <v>190</v>
      </c>
      <c r="L57" t="s">
        <v>192</v>
      </c>
      <c r="M57">
        <v>5</v>
      </c>
      <c r="R57" s="1" t="s">
        <v>186</v>
      </c>
      <c r="S57" t="s">
        <v>198</v>
      </c>
      <c r="T57" s="59">
        <f>T55</f>
        <v>0.1666666</v>
      </c>
      <c r="X57" s="1" t="s">
        <v>190</v>
      </c>
      <c r="Y57" t="s">
        <v>192</v>
      </c>
      <c r="Z57">
        <f>Z53</f>
        <v>270</v>
      </c>
      <c r="AC57" s="27" t="s">
        <v>157</v>
      </c>
      <c r="AD57" s="1" t="s">
        <v>158</v>
      </c>
      <c r="AE57" s="27" t="s">
        <v>40</v>
      </c>
      <c r="AF57" s="27">
        <v>150000000</v>
      </c>
    </row>
    <row r="58" spans="4:32" ht="15.75" thickBot="1" x14ac:dyDescent="0.3">
      <c r="D58" s="57" t="s">
        <v>156</v>
      </c>
      <c r="E58" s="57"/>
      <c r="F58" s="57"/>
      <c r="G58" s="57"/>
      <c r="J58" s="28"/>
      <c r="K58" s="49" t="s">
        <v>179</v>
      </c>
      <c r="L58" s="53"/>
      <c r="M58" s="53">
        <f>SUM(M55+M56+M57)</f>
        <v>11.584663460655722</v>
      </c>
      <c r="R58" s="1" t="s">
        <v>190</v>
      </c>
      <c r="S58" t="s">
        <v>194</v>
      </c>
      <c r="T58" s="59">
        <f>M54+T50</f>
        <v>0.67500000000000004</v>
      </c>
      <c r="X58" s="49" t="s">
        <v>179</v>
      </c>
      <c r="Y58" s="48"/>
      <c r="Z58" s="48">
        <f>SUM(Z55:Z57)</f>
        <v>541.35</v>
      </c>
      <c r="AD58" s="1" t="s">
        <v>159</v>
      </c>
      <c r="AE58" t="s">
        <v>40</v>
      </c>
      <c r="AF58">
        <v>150000000</v>
      </c>
    </row>
    <row r="59" spans="4:32" ht="15.75" thickBot="1" x14ac:dyDescent="0.3">
      <c r="D59" s="27" t="s">
        <v>157</v>
      </c>
      <c r="E59" s="1" t="s">
        <v>158</v>
      </c>
      <c r="F59" s="27" t="s">
        <v>40</v>
      </c>
      <c r="G59" s="27">
        <v>150000000</v>
      </c>
      <c r="J59" s="57" t="s">
        <v>156</v>
      </c>
      <c r="K59" s="57"/>
      <c r="L59" s="57"/>
      <c r="M59" s="57"/>
      <c r="R59" s="1" t="s">
        <v>197</v>
      </c>
      <c r="S59" t="s">
        <v>188</v>
      </c>
      <c r="T59" s="59">
        <v>5</v>
      </c>
      <c r="W59" s="57" t="s">
        <v>156</v>
      </c>
      <c r="X59" s="57"/>
      <c r="Y59" s="57"/>
      <c r="Z59" s="57"/>
      <c r="AD59" s="1" t="s">
        <v>168</v>
      </c>
      <c r="AE59" t="s">
        <v>40</v>
      </c>
      <c r="AF59">
        <v>150000000</v>
      </c>
    </row>
    <row r="60" spans="4:32" ht="15.75" thickBot="1" x14ac:dyDescent="0.3">
      <c r="E60" s="1" t="s">
        <v>159</v>
      </c>
      <c r="F60" t="s">
        <v>40</v>
      </c>
      <c r="G60">
        <v>150000000</v>
      </c>
      <c r="J60" s="27" t="s">
        <v>157</v>
      </c>
      <c r="K60" s="1" t="s">
        <v>158</v>
      </c>
      <c r="L60" s="27" t="s">
        <v>40</v>
      </c>
      <c r="M60" s="27">
        <v>150000000</v>
      </c>
      <c r="R60" s="49" t="s">
        <v>179</v>
      </c>
      <c r="S60" s="53"/>
      <c r="T60" s="66">
        <f>T56+T57+T58+T59</f>
        <v>12.050765718469457</v>
      </c>
      <c r="W60" s="27" t="s">
        <v>157</v>
      </c>
      <c r="X60" s="1" t="s">
        <v>158</v>
      </c>
      <c r="Y60" s="27" t="s">
        <v>40</v>
      </c>
      <c r="Z60" s="27">
        <v>150000000</v>
      </c>
      <c r="AD60" s="1" t="s">
        <v>160</v>
      </c>
      <c r="AF60">
        <f>AF38*AF58</f>
        <v>150000000</v>
      </c>
    </row>
    <row r="61" spans="4:32" ht="15.75" thickBot="1" x14ac:dyDescent="0.3">
      <c r="E61" s="1" t="s">
        <v>168</v>
      </c>
      <c r="F61" t="s">
        <v>40</v>
      </c>
      <c r="G61">
        <v>150000000</v>
      </c>
      <c r="K61" s="1" t="s">
        <v>159</v>
      </c>
      <c r="L61" t="s">
        <v>40</v>
      </c>
      <c r="M61">
        <v>150000000</v>
      </c>
      <c r="Q61" s="57" t="s">
        <v>156</v>
      </c>
      <c r="R61" s="57"/>
      <c r="S61" s="57"/>
      <c r="T61" s="57"/>
      <c r="X61" s="1" t="s">
        <v>159</v>
      </c>
      <c r="Y61" t="s">
        <v>40</v>
      </c>
      <c r="Z61">
        <v>150000000</v>
      </c>
      <c r="AD61" s="1" t="s">
        <v>161</v>
      </c>
      <c r="AF61" s="2"/>
    </row>
    <row r="62" spans="4:32" x14ac:dyDescent="0.25">
      <c r="E62" s="1" t="s">
        <v>160</v>
      </c>
      <c r="G62">
        <f>G38*G60</f>
        <v>1650000000</v>
      </c>
      <c r="K62" s="1" t="s">
        <v>168</v>
      </c>
      <c r="L62" t="s">
        <v>40</v>
      </c>
      <c r="M62">
        <v>150000000</v>
      </c>
      <c r="Q62" s="27" t="s">
        <v>157</v>
      </c>
      <c r="R62" s="1" t="s">
        <v>158</v>
      </c>
      <c r="S62" s="27" t="s">
        <v>40</v>
      </c>
      <c r="T62" s="27">
        <v>150000000</v>
      </c>
      <c r="X62" s="1" t="s">
        <v>168</v>
      </c>
      <c r="Y62" t="s">
        <v>40</v>
      </c>
      <c r="Z62">
        <v>150000000</v>
      </c>
      <c r="AD62" s="1" t="s">
        <v>163</v>
      </c>
      <c r="AF62" s="2"/>
    </row>
    <row r="63" spans="4:32" x14ac:dyDescent="0.25">
      <c r="E63" s="1" t="s">
        <v>161</v>
      </c>
      <c r="G63" s="2"/>
      <c r="K63" s="1" t="s">
        <v>160</v>
      </c>
      <c r="M63">
        <f>M38*M61</f>
        <v>300000000</v>
      </c>
      <c r="R63" s="1" t="s">
        <v>159</v>
      </c>
      <c r="S63" t="s">
        <v>40</v>
      </c>
      <c r="T63">
        <v>150000000</v>
      </c>
      <c r="X63" s="1" t="s">
        <v>160</v>
      </c>
      <c r="Z63">
        <f>Z38*Z61</f>
        <v>150000000</v>
      </c>
      <c r="AD63" s="1" t="s">
        <v>162</v>
      </c>
    </row>
    <row r="64" spans="4:32" x14ac:dyDescent="0.25">
      <c r="E64" s="1" t="s">
        <v>163</v>
      </c>
      <c r="G64" s="2"/>
      <c r="K64" s="1" t="s">
        <v>161</v>
      </c>
      <c r="M64" s="2"/>
      <c r="R64" s="1" t="s">
        <v>168</v>
      </c>
      <c r="S64" t="s">
        <v>40</v>
      </c>
      <c r="T64">
        <v>150000000</v>
      </c>
      <c r="X64" s="1" t="s">
        <v>161</v>
      </c>
      <c r="Z64" s="2"/>
      <c r="AD64" s="1" t="s">
        <v>164</v>
      </c>
      <c r="AE64" t="s">
        <v>167</v>
      </c>
      <c r="AF64">
        <f>AF60+(SUM(AF61:AF63))/(10)</f>
        <v>150000000</v>
      </c>
    </row>
    <row r="65" spans="5:32" x14ac:dyDescent="0.25">
      <c r="E65" s="1" t="s">
        <v>162</v>
      </c>
      <c r="K65" s="1" t="s">
        <v>163</v>
      </c>
      <c r="M65" s="2"/>
      <c r="R65" s="1" t="s">
        <v>160</v>
      </c>
      <c r="T65">
        <f>T38*T63</f>
        <v>300000000</v>
      </c>
      <c r="X65" s="1" t="s">
        <v>163</v>
      </c>
      <c r="Z65" s="2"/>
      <c r="AD65" s="49" t="s">
        <v>165</v>
      </c>
      <c r="AE65" s="48"/>
      <c r="AF65" s="48">
        <f>AF60/AF39</f>
        <v>23767.942586233941</v>
      </c>
    </row>
    <row r="66" spans="5:32" x14ac:dyDescent="0.25">
      <c r="E66" s="1" t="s">
        <v>164</v>
      </c>
      <c r="F66" t="s">
        <v>167</v>
      </c>
      <c r="G66" cm="1">
        <f t="array" ref="G66">G62+(SUM(G63:G65+G61))/(10)</f>
        <v>1695000000</v>
      </c>
      <c r="K66" s="1" t="s">
        <v>162</v>
      </c>
      <c r="R66" s="1" t="s">
        <v>161</v>
      </c>
      <c r="T66" s="2"/>
      <c r="X66" s="1" t="s">
        <v>162</v>
      </c>
      <c r="AD66" s="49" t="s">
        <v>166</v>
      </c>
      <c r="AE66" s="48"/>
      <c r="AF66" s="48">
        <f>AF60/AF40</f>
        <v>23767.942586233941</v>
      </c>
    </row>
    <row r="67" spans="5:32" x14ac:dyDescent="0.25">
      <c r="E67" s="49" t="s">
        <v>165</v>
      </c>
      <c r="F67" s="48"/>
      <c r="G67" s="48">
        <f>G62/G39</f>
        <v>25862.068965517243</v>
      </c>
      <c r="K67" s="1" t="s">
        <v>164</v>
      </c>
      <c r="L67" t="s">
        <v>167</v>
      </c>
      <c r="M67">
        <f>M63+(SUM(M64:M66))/(10)</f>
        <v>300000000</v>
      </c>
      <c r="R67" s="1" t="s">
        <v>169</v>
      </c>
      <c r="T67" s="2"/>
      <c r="X67" s="1" t="s">
        <v>164</v>
      </c>
      <c r="Y67" t="s">
        <v>167</v>
      </c>
      <c r="Z67">
        <f>Z63+(SUM(Z64:Z66))/(10)</f>
        <v>150000000</v>
      </c>
    </row>
    <row r="68" spans="5:32" x14ac:dyDescent="0.25">
      <c r="E68" s="49" t="s">
        <v>166</v>
      </c>
      <c r="F68" s="48"/>
      <c r="G68" s="48">
        <f>G62/G40</f>
        <v>25862.068965517243</v>
      </c>
      <c r="K68" s="49" t="s">
        <v>165</v>
      </c>
      <c r="L68" s="48"/>
      <c r="M68" s="48">
        <f>M63/M39</f>
        <v>8209.4586911863917</v>
      </c>
      <c r="R68" s="1" t="s">
        <v>170</v>
      </c>
      <c r="X68" s="49" t="s">
        <v>165</v>
      </c>
      <c r="Y68" s="48"/>
      <c r="Z68" s="48">
        <f>Z63/Z39</f>
        <v>13743.759470249775</v>
      </c>
    </row>
    <row r="69" spans="5:32" x14ac:dyDescent="0.25">
      <c r="K69" s="49" t="s">
        <v>166</v>
      </c>
      <c r="L69" s="48"/>
      <c r="M69" s="48">
        <f>M63/M40</f>
        <v>8209.4586911863917</v>
      </c>
      <c r="R69" s="1" t="s">
        <v>164</v>
      </c>
      <c r="S69" t="s">
        <v>167</v>
      </c>
      <c r="T69">
        <f>T65+(SUM(T66:T68))/(10)</f>
        <v>300000000</v>
      </c>
      <c r="X69" s="49" t="s">
        <v>166</v>
      </c>
      <c r="Y69" s="48"/>
      <c r="Z69" s="48">
        <f>Z63/Z40</f>
        <v>13743.759470249775</v>
      </c>
    </row>
    <row r="70" spans="5:32" x14ac:dyDescent="0.25">
      <c r="R70" s="49" t="s">
        <v>165</v>
      </c>
      <c r="S70" s="48"/>
      <c r="T70" s="48">
        <f>T65/T39</f>
        <v>8209.4586911863917</v>
      </c>
    </row>
    <row r="71" spans="5:32" x14ac:dyDescent="0.25">
      <c r="R71" s="49" t="s">
        <v>166</v>
      </c>
      <c r="S71" s="48"/>
      <c r="T71" s="48">
        <f>T65/T40</f>
        <v>8209.4586911863917</v>
      </c>
    </row>
  </sheetData>
  <mergeCells count="17">
    <mergeCell ref="W34:Z34"/>
    <mergeCell ref="AC34:AF34"/>
    <mergeCell ref="AC1:AF1"/>
    <mergeCell ref="W1:Z1"/>
    <mergeCell ref="Q1:T1"/>
    <mergeCell ref="W4:W12"/>
    <mergeCell ref="W13:W19"/>
    <mergeCell ref="AC4:AC9"/>
    <mergeCell ref="AC10:AC16"/>
    <mergeCell ref="Q5:Q14"/>
    <mergeCell ref="Q15:Q24"/>
    <mergeCell ref="D1:G1"/>
    <mergeCell ref="J1:M1"/>
    <mergeCell ref="Q34:T34"/>
    <mergeCell ref="D34:G34"/>
    <mergeCell ref="J34:M34"/>
    <mergeCell ref="Q25:Q3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A57-50A6-4EC7-8215-D5086793F090}">
  <dimension ref="C2:J8"/>
  <sheetViews>
    <sheetView tabSelected="1" workbookViewId="0">
      <selection activeCell="B29" sqref="B29"/>
    </sheetView>
  </sheetViews>
  <sheetFormatPr defaultRowHeight="15" x14ac:dyDescent="0.25"/>
  <cols>
    <col min="3" max="3" width="11.28515625" bestFit="1" customWidth="1"/>
    <col min="4" max="4" width="8.85546875" bestFit="1" customWidth="1"/>
    <col min="5" max="5" width="10" bestFit="1" customWidth="1"/>
    <col min="6" max="6" width="8.5703125" bestFit="1" customWidth="1"/>
    <col min="7" max="7" width="18.85546875" bestFit="1" customWidth="1"/>
    <col min="8" max="8" width="22.28515625" bestFit="1" customWidth="1"/>
    <col min="9" max="9" width="19.7109375" bestFit="1" customWidth="1"/>
    <col min="10" max="10" width="59" bestFit="1" customWidth="1"/>
  </cols>
  <sheetData>
    <row r="2" spans="3:10" ht="15.75" thickBot="1" x14ac:dyDescent="0.3"/>
    <row r="3" spans="3:10" ht="15.75" thickBot="1" x14ac:dyDescent="0.3">
      <c r="C3" s="94" t="s">
        <v>17</v>
      </c>
      <c r="D3" s="95"/>
      <c r="E3" s="95"/>
      <c r="F3" s="95"/>
      <c r="G3" s="95"/>
      <c r="H3" s="95"/>
      <c r="I3" s="95"/>
      <c r="J3" s="96"/>
    </row>
    <row r="4" spans="3:10" ht="15.75" thickBot="1" x14ac:dyDescent="0.3"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</row>
    <row r="5" spans="3:10" x14ac:dyDescent="0.25">
      <c r="C5" s="6" t="s">
        <v>26</v>
      </c>
      <c r="D5" s="7">
        <v>3490</v>
      </c>
      <c r="E5" s="8">
        <v>27200</v>
      </c>
      <c r="F5" s="6" t="s">
        <v>27</v>
      </c>
      <c r="G5" s="6">
        <v>22977</v>
      </c>
      <c r="H5" s="9">
        <v>1910</v>
      </c>
      <c r="I5" s="10">
        <f>0.5*G5*(H5^2)</f>
        <v>41911196850</v>
      </c>
      <c r="J5" s="11" t="s">
        <v>28</v>
      </c>
    </row>
    <row r="6" spans="3:10" x14ac:dyDescent="0.25">
      <c r="C6" s="12" t="s">
        <v>29</v>
      </c>
      <c r="D6" s="12">
        <v>2462</v>
      </c>
      <c r="E6" s="12">
        <v>20830</v>
      </c>
      <c r="F6" s="12" t="s">
        <v>27</v>
      </c>
      <c r="G6" s="12">
        <v>18850</v>
      </c>
      <c r="H6" s="13">
        <v>3076</v>
      </c>
      <c r="I6" s="14">
        <f>0.5*G6*(H6^2)</f>
        <v>89177238800</v>
      </c>
      <c r="J6" s="15" t="s">
        <v>30</v>
      </c>
    </row>
    <row r="7" spans="3:10" x14ac:dyDescent="0.25">
      <c r="C7" s="12" t="s">
        <v>14</v>
      </c>
      <c r="D7" s="12">
        <v>3900</v>
      </c>
      <c r="E7" s="12">
        <v>92670</v>
      </c>
      <c r="F7" s="12" t="s">
        <v>31</v>
      </c>
      <c r="G7" s="12">
        <v>15600</v>
      </c>
      <c r="H7" s="13">
        <v>5361</v>
      </c>
      <c r="I7" s="14">
        <f>0.5*G7*(H7^2)</f>
        <v>224174503800</v>
      </c>
      <c r="J7" s="15" t="s">
        <v>32</v>
      </c>
    </row>
    <row r="8" spans="3:10" x14ac:dyDescent="0.25">
      <c r="C8" s="12" t="s">
        <v>33</v>
      </c>
      <c r="D8" s="12">
        <v>4540</v>
      </c>
      <c r="E8" s="12">
        <v>14700</v>
      </c>
      <c r="F8" s="12" t="s">
        <v>27</v>
      </c>
      <c r="G8" s="12">
        <v>10865</v>
      </c>
      <c r="H8" s="12">
        <v>2350</v>
      </c>
      <c r="I8" s="14">
        <f>0.5*G8*(H8^2)</f>
        <v>30000981250</v>
      </c>
      <c r="J8" s="15" t="s">
        <v>34</v>
      </c>
    </row>
  </sheetData>
  <mergeCells count="1"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9C2-44B5-40C0-B117-24B7299CEE07}">
  <dimension ref="B7:J31"/>
  <sheetViews>
    <sheetView topLeftCell="A8" workbookViewId="0">
      <selection activeCell="H35" sqref="H35"/>
    </sheetView>
  </sheetViews>
  <sheetFormatPr defaultRowHeight="15" x14ac:dyDescent="0.25"/>
  <cols>
    <col min="3" max="3" width="15.42578125" customWidth="1"/>
    <col min="4" max="4" width="10.7109375" bestFit="1" customWidth="1"/>
    <col min="5" max="5" width="9.42578125" bestFit="1" customWidth="1"/>
    <col min="7" max="7" width="10.7109375" bestFit="1" customWidth="1"/>
    <col min="8" max="8" width="8.5703125" bestFit="1" customWidth="1"/>
    <col min="9" max="9" width="8.42578125" bestFit="1" customWidth="1"/>
    <col min="10" max="10" width="6.28515625" bestFit="1" customWidth="1"/>
  </cols>
  <sheetData>
    <row r="7" spans="2:10" x14ac:dyDescent="0.25">
      <c r="B7" s="92" t="s">
        <v>45</v>
      </c>
      <c r="C7" t="s">
        <v>52</v>
      </c>
      <c r="D7" t="s">
        <v>13</v>
      </c>
      <c r="E7" t="s">
        <v>9</v>
      </c>
      <c r="F7" t="s">
        <v>10</v>
      </c>
      <c r="G7" t="s">
        <v>12</v>
      </c>
      <c r="H7" t="s">
        <v>54</v>
      </c>
      <c r="I7" t="s">
        <v>21</v>
      </c>
      <c r="J7" t="s">
        <v>2</v>
      </c>
    </row>
    <row r="8" spans="2:10" x14ac:dyDescent="0.25">
      <c r="B8" s="92"/>
      <c r="C8" t="s">
        <v>53</v>
      </c>
      <c r="D8" s="97" t="s">
        <v>40</v>
      </c>
      <c r="E8" s="97"/>
      <c r="F8" s="97"/>
      <c r="G8" s="97"/>
      <c r="H8" s="97"/>
      <c r="I8" s="97"/>
      <c r="J8" s="97"/>
    </row>
    <row r="9" spans="2:10" x14ac:dyDescent="0.25">
      <c r="B9" s="92"/>
      <c r="C9" t="s">
        <v>47</v>
      </c>
      <c r="D9" s="17">
        <f>Sheet1!G14</f>
        <v>688292.56877493649</v>
      </c>
      <c r="E9" s="17">
        <f>Sheet1!G5</f>
        <v>29253.977715621993</v>
      </c>
      <c r="F9" s="17">
        <f>Sheet1!G6</f>
        <v>63800</v>
      </c>
      <c r="G9" s="17">
        <f>Sheet1!G9</f>
        <v>595238.59105931455</v>
      </c>
      <c r="H9" s="4">
        <f>Sheet1!G7^2*(Sheet1!G5+Sheet1!G6)</f>
        <v>7638205485218.0293</v>
      </c>
      <c r="I9" t="s">
        <v>27</v>
      </c>
      <c r="J9" s="2">
        <v>450</v>
      </c>
    </row>
    <row r="10" spans="2:10" x14ac:dyDescent="0.25">
      <c r="J10" s="2"/>
    </row>
    <row r="11" spans="2:10" x14ac:dyDescent="0.25">
      <c r="J11" s="2"/>
    </row>
    <row r="12" spans="2:10" x14ac:dyDescent="0.25">
      <c r="B12" s="92" t="s">
        <v>55</v>
      </c>
      <c r="C12" t="s">
        <v>52</v>
      </c>
      <c r="D12" t="s">
        <v>13</v>
      </c>
      <c r="E12" t="s">
        <v>9</v>
      </c>
      <c r="F12" t="s">
        <v>10</v>
      </c>
      <c r="G12" t="s">
        <v>12</v>
      </c>
      <c r="H12" t="s">
        <v>54</v>
      </c>
      <c r="I12" t="s">
        <v>21</v>
      </c>
      <c r="J12" s="2" t="s">
        <v>2</v>
      </c>
    </row>
    <row r="13" spans="2:10" x14ac:dyDescent="0.25">
      <c r="B13" s="92"/>
      <c r="C13" t="s">
        <v>53</v>
      </c>
      <c r="F13">
        <v>63800</v>
      </c>
      <c r="J13" s="2"/>
    </row>
    <row r="14" spans="2:10" x14ac:dyDescent="0.25">
      <c r="B14" s="92"/>
      <c r="C14" t="s">
        <v>3</v>
      </c>
      <c r="D14" s="17">
        <f>Sheet1!M15</f>
        <v>123100.59036120269</v>
      </c>
      <c r="E14" s="17">
        <f>Sheet1!M11</f>
        <v>3900</v>
      </c>
      <c r="F14" s="17">
        <f>Sheet1!M12</f>
        <v>36543.213296398892</v>
      </c>
      <c r="G14" s="17">
        <f>Sheet1!M14</f>
        <v>82657.37706480379</v>
      </c>
      <c r="H14" s="4">
        <f>Sheet1!M8</f>
        <v>292000000000</v>
      </c>
      <c r="I14" t="s">
        <v>57</v>
      </c>
      <c r="J14" s="17">
        <f>Sheet1!M13</f>
        <v>348</v>
      </c>
    </row>
    <row r="15" spans="2:10" x14ac:dyDescent="0.25">
      <c r="B15" s="92"/>
      <c r="C15" t="s">
        <v>4</v>
      </c>
      <c r="D15" s="17">
        <f>Sheet1!M22</f>
        <v>157159.28322292544</v>
      </c>
      <c r="E15" s="17">
        <f>Sheet1!M16</f>
        <v>36543.213296398892</v>
      </c>
      <c r="F15" s="17">
        <f>Sheet1!M17</f>
        <v>16756.024254389882</v>
      </c>
      <c r="G15" s="17">
        <f>Sheet1!M20</f>
        <v>103860.04567213666</v>
      </c>
      <c r="H15" s="4">
        <f>Sheet1!M21</f>
        <v>666240469384.85974</v>
      </c>
      <c r="I15" t="s">
        <v>27</v>
      </c>
      <c r="J15" s="17">
        <f>Sheet1!M18</f>
        <v>450</v>
      </c>
    </row>
    <row r="16" spans="2:10" x14ac:dyDescent="0.25">
      <c r="J16" s="2"/>
    </row>
    <row r="17" spans="2:10" x14ac:dyDescent="0.25">
      <c r="B17" s="92" t="s">
        <v>72</v>
      </c>
      <c r="C17" t="s">
        <v>52</v>
      </c>
      <c r="D17" t="s">
        <v>13</v>
      </c>
      <c r="E17" t="s">
        <v>9</v>
      </c>
      <c r="F17" t="s">
        <v>10</v>
      </c>
      <c r="G17" t="s">
        <v>12</v>
      </c>
      <c r="H17" t="s">
        <v>54</v>
      </c>
      <c r="I17" t="s">
        <v>21</v>
      </c>
      <c r="J17" s="2" t="s">
        <v>2</v>
      </c>
    </row>
    <row r="18" spans="2:10" x14ac:dyDescent="0.25">
      <c r="B18" s="92"/>
      <c r="C18" t="s">
        <v>53</v>
      </c>
      <c r="J18" s="2"/>
    </row>
    <row r="19" spans="2:10" x14ac:dyDescent="0.25">
      <c r="B19" s="92"/>
      <c r="C19" t="s">
        <v>78</v>
      </c>
      <c r="D19" s="17">
        <f>Sheet1!T14</f>
        <v>123100.59036120269</v>
      </c>
      <c r="E19" s="17">
        <f>Sheet1!T9</f>
        <v>3900</v>
      </c>
      <c r="F19" s="17">
        <f>Sheet1!T11</f>
        <v>36543.213296398892</v>
      </c>
      <c r="G19" s="17">
        <f>Sheet1!T13</f>
        <v>82657.37706480379</v>
      </c>
      <c r="H19" s="4">
        <f>Sheet1!T6</f>
        <v>292000000000</v>
      </c>
      <c r="I19" t="s">
        <v>57</v>
      </c>
      <c r="J19" s="17">
        <f>Sheet1!T12</f>
        <v>348</v>
      </c>
    </row>
    <row r="20" spans="2:10" x14ac:dyDescent="0.25">
      <c r="B20" s="92"/>
      <c r="C20" t="s">
        <v>59</v>
      </c>
      <c r="D20" s="17">
        <f>Sheet1!T24</f>
        <v>55857.71045513446</v>
      </c>
      <c r="E20" s="17">
        <f>Sheet1!T22</f>
        <v>1849.3682098278878</v>
      </c>
      <c r="F20" s="17">
        <f>Sheet1!T17</f>
        <v>36543.213296398892</v>
      </c>
      <c r="G20" s="17">
        <f>Sheet1!T23</f>
        <v>17465.128948907681</v>
      </c>
      <c r="H20" s="4">
        <f>Sheet1!T16</f>
        <v>31451202769.900978</v>
      </c>
      <c r="I20" t="s">
        <v>57</v>
      </c>
      <c r="J20" s="2">
        <f>Sheet1!T19</f>
        <v>348</v>
      </c>
    </row>
    <row r="21" spans="2:10" x14ac:dyDescent="0.25">
      <c r="B21" s="92"/>
      <c r="C21" t="s">
        <v>4</v>
      </c>
      <c r="D21" s="17">
        <f>Sheet1!T31</f>
        <v>119752.65046634462</v>
      </c>
      <c r="E21" s="17">
        <f>Sheet1!T26</f>
        <v>16756.024254389882</v>
      </c>
      <c r="F21" s="17">
        <f>Sheet1!T25</f>
        <v>36543.213296398892</v>
      </c>
      <c r="G21" s="17">
        <f>Sheet1!T29</f>
        <v>66453.412915555862</v>
      </c>
      <c r="H21" s="4">
        <f>Sheet1!T30</f>
        <v>384820495116.69495</v>
      </c>
      <c r="I21" t="s">
        <v>27</v>
      </c>
      <c r="J21" s="17">
        <f>Sheet1!T27</f>
        <v>450</v>
      </c>
    </row>
    <row r="23" spans="2:10" x14ac:dyDescent="0.25">
      <c r="B23" s="92" t="s">
        <v>74</v>
      </c>
      <c r="C23" t="s">
        <v>52</v>
      </c>
      <c r="D23" t="s">
        <v>13</v>
      </c>
      <c r="E23" t="s">
        <v>9</v>
      </c>
      <c r="F23" t="s">
        <v>10</v>
      </c>
      <c r="G23" t="s">
        <v>12</v>
      </c>
      <c r="H23" t="s">
        <v>54</v>
      </c>
      <c r="I23" t="s">
        <v>21</v>
      </c>
      <c r="J23" s="2" t="s">
        <v>2</v>
      </c>
    </row>
    <row r="24" spans="2:10" x14ac:dyDescent="0.25">
      <c r="B24" s="92"/>
      <c r="C24" t="s">
        <v>53</v>
      </c>
      <c r="J24" s="2"/>
    </row>
    <row r="25" spans="2:10" x14ac:dyDescent="0.25">
      <c r="B25" s="92"/>
      <c r="C25" t="s">
        <v>89</v>
      </c>
      <c r="D25" s="17">
        <f>Sheet1!Z12</f>
        <v>20836.060618403186</v>
      </c>
      <c r="E25" s="17">
        <f>Sheet1!Z8</f>
        <v>7230</v>
      </c>
      <c r="F25" s="17">
        <f>Sheet1!Z9</f>
        <v>10914.044321329638</v>
      </c>
      <c r="G25" s="17">
        <f>Sheet1!Z11</f>
        <v>2692.0162970735473</v>
      </c>
      <c r="H25" s="4">
        <f>Sheet1!Z5</f>
        <v>131000000000</v>
      </c>
      <c r="I25" s="33" t="s">
        <v>105</v>
      </c>
      <c r="J25" s="17">
        <f>Sheet1!Z10</f>
        <v>2800</v>
      </c>
    </row>
    <row r="26" spans="2:10" x14ac:dyDescent="0.25">
      <c r="B26" s="92"/>
      <c r="C26" t="s">
        <v>4</v>
      </c>
      <c r="D26" s="17">
        <f>Sheet1!Z18</f>
        <v>46937.398982711573</v>
      </c>
      <c r="E26" s="17">
        <f>Sheet1!Z14</f>
        <v>5004.3763223117239</v>
      </c>
      <c r="F26" s="17">
        <f>Sheet1!Z13</f>
        <v>10914.044321329638</v>
      </c>
      <c r="G26" s="17">
        <f>Sheet1!Z17</f>
        <v>31018.97833907021</v>
      </c>
      <c r="H26" s="4">
        <f>Sheet1!Z19</f>
        <v>198980258045.51703</v>
      </c>
      <c r="I26" t="s">
        <v>27</v>
      </c>
      <c r="J26" s="17">
        <f>Sheet1!Z15</f>
        <v>450</v>
      </c>
    </row>
    <row r="27" spans="2:10" x14ac:dyDescent="0.25">
      <c r="B27" s="23"/>
    </row>
    <row r="28" spans="2:10" x14ac:dyDescent="0.25">
      <c r="B28" t="s">
        <v>106</v>
      </c>
      <c r="C28" t="s">
        <v>52</v>
      </c>
      <c r="D28" t="s">
        <v>13</v>
      </c>
      <c r="E28" t="s">
        <v>9</v>
      </c>
      <c r="F28" t="s">
        <v>10</v>
      </c>
      <c r="G28" t="s">
        <v>12</v>
      </c>
      <c r="H28" t="s">
        <v>54</v>
      </c>
      <c r="I28" t="s">
        <v>21</v>
      </c>
      <c r="J28" s="2" t="s">
        <v>2</v>
      </c>
    </row>
    <row r="29" spans="2:10" x14ac:dyDescent="0.25">
      <c r="C29" t="s">
        <v>53</v>
      </c>
    </row>
    <row r="30" spans="2:10" x14ac:dyDescent="0.25">
      <c r="C30" t="s">
        <v>3</v>
      </c>
      <c r="D30" s="33">
        <f>Sheet1!AF6</f>
        <v>117570</v>
      </c>
      <c r="E30" s="33">
        <f>Sheet1!AF4</f>
        <v>3900</v>
      </c>
      <c r="F30" s="33">
        <f>Sheet1!AF3</f>
        <v>21000</v>
      </c>
      <c r="G30" s="33">
        <f>Sheet1!AF5</f>
        <v>92670</v>
      </c>
      <c r="H30" s="4">
        <f>Sheet1!AF9</f>
        <v>179778000000</v>
      </c>
      <c r="I30" t="s">
        <v>57</v>
      </c>
      <c r="J30" s="33">
        <f>Sheet1!AF8</f>
        <v>348</v>
      </c>
    </row>
    <row r="31" spans="2:10" x14ac:dyDescent="0.25">
      <c r="C31" t="s">
        <v>4</v>
      </c>
      <c r="D31" s="33">
        <f>Sheet1!AF10</f>
        <v>21000</v>
      </c>
      <c r="E31" s="33">
        <f>Sheet1!AF11</f>
        <v>3116.4</v>
      </c>
      <c r="F31" s="33">
        <f>Sheet1!AF12</f>
        <v>6311.0216400000008</v>
      </c>
      <c r="G31" s="33">
        <f>Sheet1!AF15</f>
        <v>9008.4480133912293</v>
      </c>
      <c r="H31" s="4">
        <f>Sheet1!AF16</f>
        <v>29460692625</v>
      </c>
      <c r="I31" t="s">
        <v>27</v>
      </c>
      <c r="J31" s="33">
        <f>Sheet1!AF14</f>
        <v>450</v>
      </c>
    </row>
  </sheetData>
  <mergeCells count="5">
    <mergeCell ref="B23:B26"/>
    <mergeCell ref="D8:J8"/>
    <mergeCell ref="B7:B9"/>
    <mergeCell ref="B12:B15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C4A-6611-45E2-BB7C-3CFB0014F712}">
  <dimension ref="C2:K9"/>
  <sheetViews>
    <sheetView topLeftCell="B1" workbookViewId="0">
      <selection activeCell="C4" sqref="C4:C9"/>
    </sheetView>
  </sheetViews>
  <sheetFormatPr defaultRowHeight="15" x14ac:dyDescent="0.25"/>
  <cols>
    <col min="3" max="3" width="18.5703125" bestFit="1" customWidth="1"/>
    <col min="4" max="7" width="16.42578125" customWidth="1"/>
    <col min="8" max="8" width="17.85546875" customWidth="1"/>
    <col min="9" max="11" width="16.42578125" customWidth="1"/>
  </cols>
  <sheetData>
    <row r="2" spans="3:11" ht="15.75" thickBot="1" x14ac:dyDescent="0.3"/>
    <row r="3" spans="3:11" ht="18" customHeight="1" thickBot="1" x14ac:dyDescent="0.3">
      <c r="C3" s="68" t="s">
        <v>203</v>
      </c>
      <c r="D3" s="69" t="s">
        <v>204</v>
      </c>
      <c r="E3" s="67" t="s">
        <v>205</v>
      </c>
      <c r="F3" s="67" t="s">
        <v>206</v>
      </c>
      <c r="G3" s="67" t="s">
        <v>207</v>
      </c>
      <c r="H3" s="67" t="s">
        <v>208</v>
      </c>
      <c r="I3" s="67" t="s">
        <v>209</v>
      </c>
      <c r="J3" s="67" t="s">
        <v>211</v>
      </c>
      <c r="K3" s="67" t="s">
        <v>210</v>
      </c>
    </row>
    <row r="4" spans="3:11" ht="60.75" customHeight="1" thickBot="1" x14ac:dyDescent="0.3">
      <c r="C4" s="84" t="s">
        <v>204</v>
      </c>
      <c r="D4" s="71"/>
      <c r="E4" s="72">
        <v>1</v>
      </c>
      <c r="F4" s="72">
        <v>1</v>
      </c>
      <c r="G4" s="72">
        <v>1</v>
      </c>
      <c r="H4" s="72">
        <v>1</v>
      </c>
      <c r="I4" s="72">
        <v>1</v>
      </c>
      <c r="J4" s="73">
        <f>SUM(D4:I4)+1</f>
        <v>6</v>
      </c>
      <c r="K4" s="74">
        <f>J4/SUM(J4:J9)</f>
        <v>0.2857142857142857</v>
      </c>
    </row>
    <row r="5" spans="3:11" ht="60.75" customHeight="1" thickBot="1" x14ac:dyDescent="0.3">
      <c r="C5" s="84" t="s">
        <v>205</v>
      </c>
      <c r="D5" s="75">
        <v>0</v>
      </c>
      <c r="E5" s="76"/>
      <c r="F5" s="77">
        <v>1</v>
      </c>
      <c r="G5" s="77">
        <v>0</v>
      </c>
      <c r="H5" s="77">
        <v>1</v>
      </c>
      <c r="I5" s="77">
        <v>1</v>
      </c>
      <c r="J5" s="70">
        <f t="shared" ref="J5:J9" si="0">SUM(D5:I5)+1</f>
        <v>4</v>
      </c>
      <c r="K5" s="78">
        <f>J5/SUM($J$4:$J$9)</f>
        <v>0.19047619047619047</v>
      </c>
    </row>
    <row r="6" spans="3:11" ht="60.75" customHeight="1" thickBot="1" x14ac:dyDescent="0.3">
      <c r="C6" s="84" t="s">
        <v>206</v>
      </c>
      <c r="D6" s="75">
        <v>0</v>
      </c>
      <c r="E6" s="77">
        <v>0</v>
      </c>
      <c r="F6" s="76"/>
      <c r="G6" s="77">
        <v>0</v>
      </c>
      <c r="H6" s="77">
        <v>1</v>
      </c>
      <c r="I6" s="77">
        <v>1</v>
      </c>
      <c r="J6" s="70">
        <f t="shared" si="0"/>
        <v>3</v>
      </c>
      <c r="K6" s="78">
        <f t="shared" ref="K6:K9" si="1">J6/SUM($J$4:$J$9)</f>
        <v>0.14285714285714285</v>
      </c>
    </row>
    <row r="7" spans="3:11" ht="60.75" customHeight="1" thickBot="1" x14ac:dyDescent="0.3">
      <c r="C7" s="84" t="s">
        <v>207</v>
      </c>
      <c r="D7" s="75">
        <v>0</v>
      </c>
      <c r="E7" s="77">
        <v>1</v>
      </c>
      <c r="F7" s="77">
        <v>1</v>
      </c>
      <c r="G7" s="76"/>
      <c r="H7" s="77">
        <v>0</v>
      </c>
      <c r="I7" s="77">
        <v>0</v>
      </c>
      <c r="J7" s="70">
        <f t="shared" si="0"/>
        <v>3</v>
      </c>
      <c r="K7" s="78">
        <f t="shared" si="1"/>
        <v>0.14285714285714285</v>
      </c>
    </row>
    <row r="8" spans="3:11" ht="60.75" customHeight="1" thickBot="1" x14ac:dyDescent="0.3">
      <c r="C8" s="84" t="s">
        <v>208</v>
      </c>
      <c r="D8" s="75">
        <v>0</v>
      </c>
      <c r="E8" s="77">
        <v>0</v>
      </c>
      <c r="F8" s="77">
        <v>0</v>
      </c>
      <c r="G8" s="77">
        <v>1</v>
      </c>
      <c r="H8" s="76"/>
      <c r="I8" s="77">
        <v>1</v>
      </c>
      <c r="J8" s="70">
        <f t="shared" si="0"/>
        <v>3</v>
      </c>
      <c r="K8" s="78">
        <f t="shared" si="1"/>
        <v>0.14285714285714285</v>
      </c>
    </row>
    <row r="9" spans="3:11" ht="60.75" customHeight="1" thickBot="1" x14ac:dyDescent="0.3">
      <c r="C9" s="84" t="s">
        <v>209</v>
      </c>
      <c r="D9" s="79">
        <v>0</v>
      </c>
      <c r="E9" s="80">
        <v>0</v>
      </c>
      <c r="F9" s="80">
        <v>0</v>
      </c>
      <c r="G9" s="80">
        <v>1</v>
      </c>
      <c r="H9" s="80">
        <v>0</v>
      </c>
      <c r="I9" s="81"/>
      <c r="J9" s="82">
        <f t="shared" si="0"/>
        <v>2</v>
      </c>
      <c r="K9" s="83">
        <f t="shared" si="1"/>
        <v>9.5238095238095233E-2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C45-A3E7-4C9B-8682-7F494A0D9F79}">
  <dimension ref="C3:I9"/>
  <sheetViews>
    <sheetView workbookViewId="0">
      <selection activeCell="E4" sqref="E4"/>
    </sheetView>
  </sheetViews>
  <sheetFormatPr defaultRowHeight="15" x14ac:dyDescent="0.25"/>
  <cols>
    <col min="3" max="3" width="32" customWidth="1"/>
    <col min="4" max="4" width="10.28515625" customWidth="1"/>
  </cols>
  <sheetData>
    <row r="3" spans="3:9" x14ac:dyDescent="0.25">
      <c r="C3" s="2" t="s">
        <v>139</v>
      </c>
      <c r="D3" s="2" t="s">
        <v>45</v>
      </c>
      <c r="E3" s="2" t="s">
        <v>55</v>
      </c>
      <c r="F3" s="2" t="s">
        <v>72</v>
      </c>
      <c r="G3" s="2" t="s">
        <v>74</v>
      </c>
      <c r="H3" s="2" t="s">
        <v>106</v>
      </c>
    </row>
    <row r="4" spans="3:9" ht="24" customHeight="1" x14ac:dyDescent="0.25">
      <c r="C4" s="85" t="s">
        <v>212</v>
      </c>
      <c r="D4" s="87">
        <f>Sheet1!G67</f>
        <v>25862.068965517243</v>
      </c>
      <c r="E4" s="87">
        <f>Sheet1!M68</f>
        <v>8209.4586911863917</v>
      </c>
      <c r="F4" s="87">
        <f>Sheet1!T70</f>
        <v>8209.4586911863917</v>
      </c>
      <c r="G4" s="87">
        <f>Sheet1!Z68</f>
        <v>13743.759470249775</v>
      </c>
      <c r="H4" s="87">
        <f>Sheet1!AF65</f>
        <v>23767.942586233941</v>
      </c>
    </row>
    <row r="5" spans="3:9" ht="24" customHeight="1" x14ac:dyDescent="0.25">
      <c r="C5" s="1" t="s">
        <v>217</v>
      </c>
      <c r="D5" s="87">
        <f>Sheet1!G68</f>
        <v>25862.068965517243</v>
      </c>
      <c r="E5" s="87">
        <f>Sheet1!M69</f>
        <v>8209.4586911863917</v>
      </c>
      <c r="F5" s="87">
        <f>Sheet1!T71</f>
        <v>8209.4586911863917</v>
      </c>
      <c r="G5" s="87">
        <f>Sheet1!Z69</f>
        <v>13743.759470249775</v>
      </c>
      <c r="H5" s="87">
        <f>Sheet1!AF66</f>
        <v>23767.942586233941</v>
      </c>
    </row>
    <row r="6" spans="3:9" ht="24" customHeight="1" x14ac:dyDescent="0.25">
      <c r="C6" s="85" t="s">
        <v>213</v>
      </c>
      <c r="D6" s="88">
        <f>Sheet1!G41</f>
        <v>5800</v>
      </c>
      <c r="E6" s="88">
        <f>Sheet1!M41</f>
        <v>18271.606648199446</v>
      </c>
      <c r="F6" s="88">
        <f>Sheet1!T41</f>
        <v>18271.606648199446</v>
      </c>
      <c r="G6" s="88">
        <f>Sheet1!Z41</f>
        <v>10914.044321329638</v>
      </c>
      <c r="H6" s="88">
        <f>Sheet1!AF41</f>
        <v>6311.0216400000008</v>
      </c>
    </row>
    <row r="7" spans="3:9" ht="24" customHeight="1" x14ac:dyDescent="0.25">
      <c r="C7" s="85" t="s">
        <v>214</v>
      </c>
      <c r="D7" s="88">
        <f>Sheet1!G41</f>
        <v>5800</v>
      </c>
      <c r="E7" s="88">
        <f>Sheet1!M41</f>
        <v>18271.606648199446</v>
      </c>
      <c r="F7" s="88">
        <f>Sheet1!T41</f>
        <v>18271.606648199446</v>
      </c>
      <c r="G7" s="88">
        <f>Sheet1!Z41</f>
        <v>10914.044321329638</v>
      </c>
      <c r="H7" s="88">
        <f>Sheet1!AF41</f>
        <v>6311.0216400000008</v>
      </c>
    </row>
    <row r="8" spans="3:9" ht="24" customHeight="1" x14ac:dyDescent="0.25">
      <c r="C8" s="85" t="s">
        <v>215</v>
      </c>
      <c r="D8" s="86">
        <f>Sheet1!G55</f>
        <v>6.444589247925939</v>
      </c>
      <c r="E8" s="86">
        <f>Sheet1!M55</f>
        <v>5.9096634606557235</v>
      </c>
      <c r="F8" s="86">
        <f>Sheet1!T56</f>
        <v>6.2090991184694575</v>
      </c>
      <c r="G8" s="86">
        <f>Sheet1!Z55</f>
        <v>270.67500000000001</v>
      </c>
      <c r="H8" s="86">
        <f>Sheet1!AF55</f>
        <v>3.3066</v>
      </c>
      <c r="I8" s="64"/>
    </row>
    <row r="9" spans="3:9" ht="15.75" x14ac:dyDescent="0.25">
      <c r="C9" s="85" t="s">
        <v>216</v>
      </c>
      <c r="D9" s="3">
        <f>Sheet1!G49</f>
        <v>22</v>
      </c>
      <c r="E9" s="3">
        <f>Sheet1!M49</f>
        <v>8</v>
      </c>
      <c r="F9" s="3">
        <f>Sheet1!T49</f>
        <v>11</v>
      </c>
      <c r="G9" s="3">
        <f>Sheet1!Z49</f>
        <v>8</v>
      </c>
      <c r="H9" s="3">
        <f>Sheet1!AF49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2023-01-28T05:45:55Z</dcterms:created>
  <dcterms:modified xsi:type="dcterms:W3CDTF">2023-02-11T09:51:34Z</dcterms:modified>
</cp:coreProperties>
</file>